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19401\06-SoA\"/>
    </mc:Choice>
  </mc:AlternateContent>
  <xr:revisionPtr revIDLastSave="0" documentId="13_ncr:1_{B92D18FE-C2CF-4A61-BFFC-26C7355AC5CF}" xr6:coauthVersionLast="47" xr6:coauthVersionMax="47" xr10:uidLastSave="{00000000-0000-0000-0000-000000000000}"/>
  <bookViews>
    <workbookView xWindow="-23148" yWindow="6804" windowWidth="23256" windowHeight="12456" firstSheet="2" activeTab="6" xr2:uid="{741F4F2D-C1F1-4D2A-B830-0A6EE61DAC01}"/>
  </bookViews>
  <sheets>
    <sheet name="Plot By Plot SoA" sheetId="1" r:id="rId1"/>
    <sheet name="Single &amp; Multi Family (Filtere)" sheetId="10" r:id="rId2"/>
    <sheet name="Block By Block SoA" sheetId="2" r:id="rId3"/>
    <sheet name="Commercial Units" sheetId="11" r:id="rId4"/>
    <sheet name="CIL Calculations" sheetId="13" r:id="rId5"/>
    <sheet name="Railing Schedule" sheetId="14" r:id="rId6"/>
    <sheet name="Ironmongery Schedule" sheetId="15" r:id="rId7"/>
    <sheet name="14 - Affordable A" sheetId="3" state="hidden" r:id="rId8"/>
    <sheet name="23 - Affordable B" sheetId="4" state="hidden" r:id="rId9"/>
    <sheet name="35 - Affordable C" sheetId="5" state="hidden" r:id="rId10"/>
    <sheet name="55 - Affordable D" sheetId="6" state="hidden" r:id="rId11"/>
    <sheet name="74 - Affordable E " sheetId="7" state="hidden" r:id="rId12"/>
  </sheets>
  <externalReferences>
    <externalReference r:id="rId13"/>
  </externalReferences>
  <definedNames>
    <definedName name="_xlnm.Print_Area" localSheetId="2">'Block By Block SoA'!$A$1:$M$23</definedName>
    <definedName name="_xlnm.Print_Area" localSheetId="0">'Plot By Plot SoA'!$A$1:$P$367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5" l="1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19" i="14"/>
  <c r="M25" i="14"/>
  <c r="M24" i="14"/>
  <c r="M23" i="14"/>
  <c r="M22" i="14"/>
  <c r="M21" i="14"/>
  <c r="M20" i="14"/>
  <c r="M18" i="14"/>
  <c r="M17" i="14"/>
  <c r="M16" i="14"/>
  <c r="M15" i="14"/>
  <c r="M14" i="14"/>
  <c r="M13" i="14"/>
  <c r="M12" i="14"/>
  <c r="M11" i="14"/>
  <c r="M10" i="14"/>
  <c r="M9" i="14"/>
  <c r="M8" i="14"/>
  <c r="F29" i="11"/>
  <c r="G29" i="11"/>
  <c r="D29" i="11"/>
  <c r="G27" i="11"/>
  <c r="G28" i="11"/>
  <c r="F28" i="11"/>
  <c r="F27" i="11"/>
  <c r="E28" i="11"/>
  <c r="E27" i="11"/>
  <c r="E29" i="11" s="1"/>
  <c r="R8" i="13"/>
  <c r="S8" i="13" s="1"/>
  <c r="R10" i="13"/>
  <c r="R26" i="13"/>
  <c r="B12" i="13"/>
  <c r="S364" i="1"/>
  <c r="C21" i="11"/>
  <c r="D41" i="13"/>
  <c r="B41" i="13"/>
  <c r="B31" i="13"/>
  <c r="B18" i="13" s="1"/>
  <c r="D31" i="13"/>
  <c r="D18" i="13" s="1"/>
  <c r="C29" i="13"/>
  <c r="C31" i="13" s="1"/>
  <c r="E40" i="13"/>
  <c r="C37" i="13"/>
  <c r="C38" i="13"/>
  <c r="C39" i="13"/>
  <c r="E36" i="13"/>
  <c r="C36" i="13"/>
  <c r="E28" i="13"/>
  <c r="E27" i="13"/>
  <c r="E30" i="13"/>
  <c r="C3" i="13"/>
  <c r="C19" i="13"/>
  <c r="G21" i="13"/>
  <c r="G24" i="13" s="1"/>
  <c r="I21" i="13"/>
  <c r="I24" i="13" s="1"/>
  <c r="F24" i="13"/>
  <c r="H24" i="13"/>
  <c r="C20" i="13"/>
  <c r="C4" i="13"/>
  <c r="C5" i="13"/>
  <c r="C6" i="13"/>
  <c r="C7" i="13"/>
  <c r="C8" i="13"/>
  <c r="C9" i="13"/>
  <c r="D365" i="1"/>
  <c r="C3" i="10"/>
  <c r="G3" i="10" s="1"/>
  <c r="D3" i="10"/>
  <c r="E3" i="10"/>
  <c r="F3" i="10"/>
  <c r="K4" i="10" a="1"/>
  <c r="K4" i="10" s="1"/>
  <c r="M4" i="10" a="1"/>
  <c r="M4" i="10" s="1"/>
  <c r="N4" i="10" a="1"/>
  <c r="N4" i="10" s="1"/>
  <c r="O4" i="10" a="1"/>
  <c r="O4" i="10" s="1"/>
  <c r="C5" i="10"/>
  <c r="C4" i="10" s="1"/>
  <c r="D5" i="10"/>
  <c r="D4" i="10" s="1"/>
  <c r="D6" i="10" s="1"/>
  <c r="E5" i="10"/>
  <c r="E4" i="10" s="1"/>
  <c r="E6" i="10" s="1"/>
  <c r="F5" i="10"/>
  <c r="F4" i="10" s="1"/>
  <c r="F6" i="10" s="1"/>
  <c r="K5" i="10" a="1"/>
  <c r="K5" i="10" s="1"/>
  <c r="M5" i="10" a="1"/>
  <c r="M5" i="10" s="1"/>
  <c r="N5" i="10" a="1"/>
  <c r="N5" i="10" s="1"/>
  <c r="O5" i="10" a="1"/>
  <c r="O5" i="10" s="1"/>
  <c r="K6" i="10" a="1"/>
  <c r="K6" i="10" s="1"/>
  <c r="M6" i="10" a="1"/>
  <c r="M6" i="10" s="1"/>
  <c r="N6" i="10" a="1"/>
  <c r="N6" i="10" s="1"/>
  <c r="O6" i="10" a="1"/>
  <c r="O6" i="10" s="1"/>
  <c r="K7" i="10" a="1"/>
  <c r="K7" i="10" s="1"/>
  <c r="M7" i="10" a="1"/>
  <c r="M7" i="10" s="1"/>
  <c r="N7" i="10" a="1"/>
  <c r="N7" i="10" s="1"/>
  <c r="O7" i="10" a="1"/>
  <c r="O7" i="10" s="1"/>
  <c r="L8" i="10"/>
  <c r="C16" i="10"/>
  <c r="D16" i="10"/>
  <c r="E16" i="10"/>
  <c r="F16" i="10"/>
  <c r="K17" i="10" a="1"/>
  <c r="K17" i="10" s="1"/>
  <c r="M17" i="10" a="1"/>
  <c r="M17" i="10" s="1"/>
  <c r="N17" i="10" a="1"/>
  <c r="N17" i="10" s="1"/>
  <c r="O17" i="10" a="1"/>
  <c r="O17" i="10" s="1"/>
  <c r="C18" i="10"/>
  <c r="C17" i="10" s="1"/>
  <c r="D18" i="10"/>
  <c r="E18" i="10"/>
  <c r="E17" i="10" s="1"/>
  <c r="E19" i="10" s="1"/>
  <c r="F18" i="10"/>
  <c r="F17" i="10" s="1"/>
  <c r="K18" i="10" a="1"/>
  <c r="K18" i="10" s="1"/>
  <c r="M18" i="10" a="1"/>
  <c r="M18" i="10" s="1"/>
  <c r="N18" i="10" a="1"/>
  <c r="N18" i="10" s="1"/>
  <c r="O18" i="10" a="1"/>
  <c r="O18" i="10" s="1"/>
  <c r="K19" i="10" a="1"/>
  <c r="K19" i="10" s="1"/>
  <c r="M19" i="10" a="1"/>
  <c r="M19" i="10" s="1"/>
  <c r="N19" i="10" a="1"/>
  <c r="N19" i="10" s="1"/>
  <c r="O19" i="10" a="1"/>
  <c r="O19" i="10" s="1"/>
  <c r="K20" i="10" a="1"/>
  <c r="K20" i="10" s="1"/>
  <c r="M20" i="10" a="1"/>
  <c r="M20" i="10" s="1"/>
  <c r="N20" i="10" a="1"/>
  <c r="N20" i="10" s="1"/>
  <c r="O20" i="10" a="1"/>
  <c r="O20" i="10" s="1"/>
  <c r="L21" i="10"/>
  <c r="L33" i="10"/>
  <c r="M441" i="1"/>
  <c r="L437" i="1"/>
  <c r="L438" i="1"/>
  <c r="L436" i="1"/>
  <c r="K437" i="1"/>
  <c r="K438" i="1"/>
  <c r="K439" i="1"/>
  <c r="K436" i="1"/>
  <c r="J437" i="1"/>
  <c r="J438" i="1"/>
  <c r="J439" i="1"/>
  <c r="J440" i="1"/>
  <c r="N440" i="1" s="1"/>
  <c r="J436" i="1"/>
  <c r="I435" i="1"/>
  <c r="I442" i="1" s="1"/>
  <c r="H435" i="1"/>
  <c r="H442" i="1" s="1"/>
  <c r="G435" i="1"/>
  <c r="G442" i="1" s="1"/>
  <c r="F435" i="1"/>
  <c r="F434" i="1"/>
  <c r="N434" i="1" s="1"/>
  <c r="E435" i="1"/>
  <c r="E442" i="1" s="1"/>
  <c r="D435" i="1"/>
  <c r="D442" i="1" s="1"/>
  <c r="C435" i="1"/>
  <c r="C442" i="1" s="1"/>
  <c r="B435" i="1"/>
  <c r="B442" i="1" s="1"/>
  <c r="M442" i="1"/>
  <c r="N441" i="1"/>
  <c r="W23" i="1"/>
  <c r="W22" i="1"/>
  <c r="E13" i="1"/>
  <c r="F17" i="11"/>
  <c r="G17" i="11" s="1"/>
  <c r="D17" i="11"/>
  <c r="E17" i="11" s="1"/>
  <c r="E16" i="11"/>
  <c r="G14" i="11"/>
  <c r="AD87" i="1"/>
  <c r="AD86" i="1"/>
  <c r="AD85" i="1"/>
  <c r="AD84" i="1"/>
  <c r="AD81" i="1"/>
  <c r="W7" i="1"/>
  <c r="L30" i="10" s="1"/>
  <c r="W10" i="1" a="1"/>
  <c r="W10" i="1" s="1"/>
  <c r="W9" i="1" a="1"/>
  <c r="W9" i="1" s="1"/>
  <c r="L32" i="10" s="1"/>
  <c r="W8" i="1" a="1"/>
  <c r="W8" i="1" s="1"/>
  <c r="L31" i="10" s="1"/>
  <c r="M26" i="14" l="1"/>
  <c r="D11" i="13"/>
  <c r="E31" i="13"/>
  <c r="C41" i="13"/>
  <c r="E41" i="13"/>
  <c r="E18" i="13"/>
  <c r="E21" i="13" s="1"/>
  <c r="D21" i="13"/>
  <c r="C18" i="13"/>
  <c r="C21" i="13" s="1"/>
  <c r="B21" i="13"/>
  <c r="R15" i="13" s="1"/>
  <c r="R16" i="13" s="1"/>
  <c r="Q10" i="13" s="1"/>
  <c r="Q12" i="13" s="1"/>
  <c r="C12" i="13"/>
  <c r="D20" i="10"/>
  <c r="G16" i="10"/>
  <c r="N8" i="10"/>
  <c r="P20" i="10"/>
  <c r="M8" i="10"/>
  <c r="P7" i="10"/>
  <c r="D7" i="10"/>
  <c r="C7" i="10"/>
  <c r="M21" i="10"/>
  <c r="P6" i="10"/>
  <c r="C19" i="10"/>
  <c r="G4" i="10"/>
  <c r="H3" i="10" s="1"/>
  <c r="N21" i="10"/>
  <c r="P18" i="10"/>
  <c r="K21" i="10"/>
  <c r="P5" i="10"/>
  <c r="O21" i="10"/>
  <c r="O8" i="10"/>
  <c r="P19" i="10"/>
  <c r="P4" i="10"/>
  <c r="K8" i="10"/>
  <c r="P17" i="10"/>
  <c r="E20" i="10"/>
  <c r="G18" i="10"/>
  <c r="F7" i="10"/>
  <c r="C6" i="10"/>
  <c r="D17" i="10"/>
  <c r="D19" i="10" s="1"/>
  <c r="E7" i="10"/>
  <c r="C20" i="10"/>
  <c r="G5" i="10"/>
  <c r="L34" i="10"/>
  <c r="N439" i="1"/>
  <c r="N436" i="1"/>
  <c r="K442" i="1"/>
  <c r="L442" i="1"/>
  <c r="N438" i="1"/>
  <c r="N437" i="1"/>
  <c r="J442" i="1"/>
  <c r="N435" i="1"/>
  <c r="F442" i="1"/>
  <c r="G364" i="1"/>
  <c r="D10" i="13" l="1"/>
  <c r="R27" i="13" s="1"/>
  <c r="E11" i="13"/>
  <c r="D12" i="13"/>
  <c r="P8" i="10"/>
  <c r="G17" i="10"/>
  <c r="H16" i="10" s="1"/>
  <c r="P21" i="10"/>
  <c r="N442" i="1"/>
  <c r="W11" i="1"/>
  <c r="R28" i="13" l="1"/>
  <c r="E10" i="13"/>
  <c r="E12" i="13" s="1"/>
  <c r="W19" i="1"/>
  <c r="S10" i="13" l="1"/>
  <c r="S12" i="13" s="1"/>
  <c r="R12" i="13"/>
  <c r="G13" i="11"/>
  <c r="F11" i="11"/>
  <c r="F18" i="11" s="1"/>
  <c r="G7" i="11"/>
  <c r="G8" i="11"/>
  <c r="G9" i="11"/>
  <c r="G10" i="11"/>
  <c r="G6" i="11"/>
  <c r="E15" i="11"/>
  <c r="E14" i="11"/>
  <c r="E13" i="11"/>
  <c r="E12" i="11"/>
  <c r="E10" i="1"/>
  <c r="D10" i="11"/>
  <c r="E10" i="11" s="1"/>
  <c r="D9" i="11"/>
  <c r="E9" i="11" s="1"/>
  <c r="D8" i="11"/>
  <c r="E8" i="11" s="1"/>
  <c r="D7" i="11"/>
  <c r="E7" i="11" s="1"/>
  <c r="D6" i="11"/>
  <c r="R364" i="1"/>
  <c r="W32" i="1"/>
  <c r="W31" i="1"/>
  <c r="W29" i="1"/>
  <c r="W30" i="1"/>
  <c r="D11" i="11" l="1"/>
  <c r="D18" i="11" s="1"/>
  <c r="W33" i="1"/>
  <c r="G11" i="11"/>
  <c r="G18" i="11" s="1"/>
  <c r="E6" i="11"/>
  <c r="E11" i="11" s="1"/>
  <c r="Q364" i="1"/>
  <c r="O364" i="1"/>
  <c r="W15" i="1"/>
  <c r="W16" i="1"/>
  <c r="J406" i="1"/>
  <c r="I6" i="2"/>
  <c r="D429" i="1"/>
  <c r="E429" i="1"/>
  <c r="F429" i="1"/>
  <c r="G429" i="1"/>
  <c r="H429" i="1"/>
  <c r="I429" i="1"/>
  <c r="J429" i="1"/>
  <c r="K429" i="1"/>
  <c r="L429" i="1"/>
  <c r="M429" i="1"/>
  <c r="C429" i="1"/>
  <c r="B429" i="1"/>
  <c r="N423" i="1"/>
  <c r="N424" i="1"/>
  <c r="N425" i="1"/>
  <c r="N426" i="1"/>
  <c r="N427" i="1"/>
  <c r="N428" i="1"/>
  <c r="N422" i="1"/>
  <c r="N421" i="1"/>
  <c r="G10" i="2"/>
  <c r="H10" i="2"/>
  <c r="M12" i="2"/>
  <c r="L12" i="2"/>
  <c r="K12" i="2"/>
  <c r="J12" i="2"/>
  <c r="I12" i="2"/>
  <c r="I409" i="1" s="1"/>
  <c r="H12" i="2"/>
  <c r="G12" i="2"/>
  <c r="F12" i="2"/>
  <c r="E12" i="2"/>
  <c r="C12" i="2"/>
  <c r="B12" i="2"/>
  <c r="M7" i="2"/>
  <c r="L7" i="2"/>
  <c r="K7" i="2"/>
  <c r="J7" i="2"/>
  <c r="I7" i="2"/>
  <c r="H7" i="2"/>
  <c r="G7" i="2"/>
  <c r="F7" i="2"/>
  <c r="E7" i="2"/>
  <c r="C7" i="2"/>
  <c r="B7" i="2"/>
  <c r="M9" i="2"/>
  <c r="L9" i="2"/>
  <c r="K9" i="2"/>
  <c r="J9" i="2"/>
  <c r="I9" i="2"/>
  <c r="H9" i="2"/>
  <c r="G9" i="2"/>
  <c r="F9" i="2"/>
  <c r="E9" i="2"/>
  <c r="C9" i="2"/>
  <c r="B9" i="2"/>
  <c r="M8" i="2"/>
  <c r="L8" i="2"/>
  <c r="K8" i="2"/>
  <c r="J8" i="2"/>
  <c r="I8" i="2"/>
  <c r="I404" i="1" s="1"/>
  <c r="H8" i="2"/>
  <c r="G8" i="2"/>
  <c r="F8" i="2"/>
  <c r="E8" i="2"/>
  <c r="C8" i="2"/>
  <c r="B8" i="2"/>
  <c r="F6" i="2"/>
  <c r="M6" i="2"/>
  <c r="L6" i="2"/>
  <c r="K6" i="2"/>
  <c r="J6" i="2"/>
  <c r="H6" i="2"/>
  <c r="G6" i="2"/>
  <c r="E6" i="2"/>
  <c r="C6" i="2"/>
  <c r="B6" i="2"/>
  <c r="B14" i="2"/>
  <c r="H364" i="1"/>
  <c r="D366" i="1"/>
  <c r="E283" i="1"/>
  <c r="E391" i="1"/>
  <c r="E390" i="1"/>
  <c r="E411" i="1"/>
  <c r="E395" i="1"/>
  <c r="E393" i="1"/>
  <c r="E394" i="1"/>
  <c r="E392" i="1"/>
  <c r="D396" i="1"/>
  <c r="E389" i="1"/>
  <c r="E388" i="1"/>
  <c r="B22" i="2"/>
  <c r="C16" i="2"/>
  <c r="D16" i="2" s="1"/>
  <c r="B16" i="2"/>
  <c r="C15" i="2"/>
  <c r="D15" i="2" s="1"/>
  <c r="B15" i="2"/>
  <c r="F364" i="1"/>
  <c r="E243" i="1"/>
  <c r="J409" i="1"/>
  <c r="I406" i="1"/>
  <c r="B11" i="2"/>
  <c r="D411" i="1"/>
  <c r="D413" i="1" s="1"/>
  <c r="F411" i="1"/>
  <c r="M14" i="2"/>
  <c r="L14" i="2"/>
  <c r="K14" i="2"/>
  <c r="J14" i="2"/>
  <c r="I14" i="2"/>
  <c r="I405" i="1" s="1"/>
  <c r="H14" i="2"/>
  <c r="G14" i="2"/>
  <c r="F14" i="2"/>
  <c r="E14" i="2"/>
  <c r="C14" i="2"/>
  <c r="M13" i="2"/>
  <c r="L13" i="2"/>
  <c r="K13" i="2"/>
  <c r="J13" i="2"/>
  <c r="I13" i="2"/>
  <c r="I410" i="1" s="1"/>
  <c r="H13" i="2"/>
  <c r="G13" i="2"/>
  <c r="F13" i="2"/>
  <c r="E13" i="2"/>
  <c r="C13" i="2"/>
  <c r="M11" i="2"/>
  <c r="L11" i="2"/>
  <c r="K11" i="2"/>
  <c r="J11" i="2"/>
  <c r="I11" i="2"/>
  <c r="H11" i="2"/>
  <c r="G11" i="2"/>
  <c r="F11" i="2"/>
  <c r="E11" i="2"/>
  <c r="C11" i="2"/>
  <c r="M10" i="2"/>
  <c r="L10" i="2"/>
  <c r="K10" i="2"/>
  <c r="J10" i="2"/>
  <c r="I10" i="2"/>
  <c r="I408" i="1" s="1"/>
  <c r="F10" i="2"/>
  <c r="E10" i="2"/>
  <c r="C10" i="2"/>
  <c r="B10" i="2"/>
  <c r="B13" i="2"/>
  <c r="E18" i="11" l="1"/>
  <c r="I403" i="1"/>
  <c r="N429" i="1"/>
  <c r="E396" i="1"/>
  <c r="B19" i="2"/>
  <c r="F413" i="1"/>
  <c r="K406" i="1"/>
  <c r="M406" i="1" s="1"/>
  <c r="I407" i="1"/>
  <c r="J410" i="1"/>
  <c r="K410" i="1" s="1"/>
  <c r="J407" i="1" a="1"/>
  <c r="J407" i="1" s="1"/>
  <c r="J408" i="1"/>
  <c r="K408" i="1" s="1"/>
  <c r="J405" i="1"/>
  <c r="K405" i="1" s="1"/>
  <c r="J404" i="1"/>
  <c r="K404" i="1" s="1"/>
  <c r="M404" i="1" s="1"/>
  <c r="K409" i="1"/>
  <c r="M409" i="1" s="1"/>
  <c r="L372" i="1"/>
  <c r="M372" i="1" s="1"/>
  <c r="L373" i="1"/>
  <c r="M373" i="1" s="1"/>
  <c r="L374" i="1"/>
  <c r="M374" i="1" s="1"/>
  <c r="L375" i="1"/>
  <c r="M375" i="1" s="1"/>
  <c r="L376" i="1"/>
  <c r="M376" i="1" s="1"/>
  <c r="L377" i="1"/>
  <c r="M377" i="1" s="1"/>
  <c r="L378" i="1"/>
  <c r="M378" i="1" s="1"/>
  <c r="L371" i="1"/>
  <c r="M371" i="1" s="1"/>
  <c r="Q379" i="1"/>
  <c r="O379" i="1"/>
  <c r="K379" i="1"/>
  <c r="I379" i="1"/>
  <c r="F379" i="1"/>
  <c r="E379" i="1"/>
  <c r="D379" i="1"/>
  <c r="I411" i="1" l="1"/>
  <c r="L406" i="1"/>
  <c r="P380" i="1"/>
  <c r="P381" i="1" s="1"/>
  <c r="K407" i="1"/>
  <c r="L407" i="1" s="1"/>
  <c r="L408" i="1"/>
  <c r="M408" i="1"/>
  <c r="L405" i="1"/>
  <c r="M405" i="1"/>
  <c r="L410" i="1"/>
  <c r="M410" i="1"/>
  <c r="L409" i="1"/>
  <c r="L404" i="1"/>
  <c r="M379" i="1"/>
  <c r="L379" i="1"/>
  <c r="V10" i="1" a="1"/>
  <c r="V10" i="1" s="1"/>
  <c r="X10" i="1" a="1"/>
  <c r="X10" i="1" s="1"/>
  <c r="M33" i="10" s="1"/>
  <c r="Y10" i="1" a="1"/>
  <c r="Y10" i="1" s="1"/>
  <c r="N33" i="10" s="1"/>
  <c r="Z10" i="1" a="1"/>
  <c r="Z10" i="1" s="1"/>
  <c r="O33" i="10" s="1"/>
  <c r="Z9" i="1" a="1"/>
  <c r="Z9" i="1" s="1"/>
  <c r="O32" i="10" s="1"/>
  <c r="Y9" i="1" a="1"/>
  <c r="Y9" i="1" s="1"/>
  <c r="N32" i="10" s="1"/>
  <c r="X9" i="1" a="1"/>
  <c r="X9" i="1" s="1"/>
  <c r="M32" i="10" s="1"/>
  <c r="V9" i="1" a="1"/>
  <c r="V9" i="1" s="1"/>
  <c r="Z8" i="1" a="1"/>
  <c r="Z8" i="1" s="1"/>
  <c r="O31" i="10" s="1"/>
  <c r="Y8" i="1" a="1"/>
  <c r="Y8" i="1" s="1"/>
  <c r="N31" i="10" s="1"/>
  <c r="X8" i="1" a="1"/>
  <c r="X8" i="1" s="1"/>
  <c r="M31" i="10" s="1"/>
  <c r="V8" i="1" a="1"/>
  <c r="V8" i="1" s="1"/>
  <c r="Z7" i="1" a="1"/>
  <c r="Z7" i="1" s="1"/>
  <c r="O30" i="10" s="1"/>
  <c r="Y7" i="1" a="1"/>
  <c r="Y7" i="1" s="1"/>
  <c r="N30" i="10" s="1"/>
  <c r="X7" i="1" a="1"/>
  <c r="X7" i="1" s="1"/>
  <c r="M30" i="10" s="1"/>
  <c r="V7" i="1" a="1"/>
  <c r="V7" i="1" s="1"/>
  <c r="K30" i="10" s="1"/>
  <c r="E353" i="1"/>
  <c r="E352" i="1"/>
  <c r="E351" i="1"/>
  <c r="E350" i="1"/>
  <c r="E349" i="1"/>
  <c r="E348" i="1"/>
  <c r="E346" i="1"/>
  <c r="E344" i="1"/>
  <c r="E342" i="1"/>
  <c r="E341" i="1"/>
  <c r="E340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2" i="1"/>
  <c r="E334" i="1"/>
  <c r="E336" i="1"/>
  <c r="E337" i="1"/>
  <c r="E338" i="1"/>
  <c r="E339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5" i="1"/>
  <c r="E206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58" i="1"/>
  <c r="E156" i="1"/>
  <c r="E155" i="1"/>
  <c r="E154" i="1"/>
  <c r="E172" i="1"/>
  <c r="E171" i="1"/>
  <c r="E170" i="1"/>
  <c r="E169" i="1"/>
  <c r="E168" i="1"/>
  <c r="E167" i="1"/>
  <c r="E166" i="1"/>
  <c r="E164" i="1"/>
  <c r="E163" i="1"/>
  <c r="E162" i="1"/>
  <c r="E160" i="1"/>
  <c r="E153" i="1"/>
  <c r="E152" i="1"/>
  <c r="E151" i="1"/>
  <c r="E150" i="1"/>
  <c r="E149" i="1"/>
  <c r="E148" i="1"/>
  <c r="E147" i="1"/>
  <c r="E145" i="1"/>
  <c r="E144" i="1"/>
  <c r="E143" i="1"/>
  <c r="E141" i="1"/>
  <c r="E140" i="1"/>
  <c r="E139" i="1"/>
  <c r="E138" i="1"/>
  <c r="E136" i="1"/>
  <c r="E135" i="1"/>
  <c r="E134" i="1"/>
  <c r="E133" i="1"/>
  <c r="E132" i="1"/>
  <c r="E131" i="1"/>
  <c r="E130" i="1"/>
  <c r="E129" i="1"/>
  <c r="E127" i="1"/>
  <c r="E126" i="1"/>
  <c r="E125" i="1"/>
  <c r="E123" i="1"/>
  <c r="E122" i="1"/>
  <c r="E121" i="1"/>
  <c r="E119" i="1"/>
  <c r="E117" i="1"/>
  <c r="E114" i="1"/>
  <c r="E112" i="1"/>
  <c r="E111" i="1"/>
  <c r="E109" i="1"/>
  <c r="E108" i="1"/>
  <c r="E107" i="1"/>
  <c r="E106" i="1"/>
  <c r="E105" i="1"/>
  <c r="E104" i="1"/>
  <c r="E102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1" i="1"/>
  <c r="E79" i="1"/>
  <c r="E77" i="1"/>
  <c r="E76" i="1"/>
  <c r="E75" i="1"/>
  <c r="E74" i="1"/>
  <c r="E73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4" i="1"/>
  <c r="E55" i="1"/>
  <c r="E53" i="1"/>
  <c r="E52" i="1"/>
  <c r="E51" i="1"/>
  <c r="E50" i="1"/>
  <c r="E49" i="1"/>
  <c r="E48" i="1"/>
  <c r="E47" i="1"/>
  <c r="E46" i="1"/>
  <c r="E44" i="1"/>
  <c r="E43" i="1"/>
  <c r="E42" i="1"/>
  <c r="E41" i="1"/>
  <c r="E40" i="1"/>
  <c r="E39" i="1"/>
  <c r="E38" i="1"/>
  <c r="E37" i="1"/>
  <c r="E36" i="1"/>
  <c r="E35" i="1"/>
  <c r="E34" i="1"/>
  <c r="E33" i="1"/>
  <c r="Q410" i="1" l="1"/>
  <c r="S410" i="1" s="1"/>
  <c r="K33" i="10"/>
  <c r="P33" i="10" s="1"/>
  <c r="P30" i="10"/>
  <c r="O34" i="10"/>
  <c r="M34" i="10"/>
  <c r="N34" i="10"/>
  <c r="Q408" i="1"/>
  <c r="S408" i="1" s="1"/>
  <c r="K31" i="10"/>
  <c r="P31" i="10" s="1"/>
  <c r="Q409" i="1"/>
  <c r="S409" i="1" s="1"/>
  <c r="K32" i="10"/>
  <c r="P32" i="10" s="1"/>
  <c r="Q404" i="1"/>
  <c r="S404" i="1" s="1"/>
  <c r="Q405" i="1"/>
  <c r="S405" i="1" s="1"/>
  <c r="Q407" i="1"/>
  <c r="S407" i="1" s="1"/>
  <c r="AA7" i="1"/>
  <c r="Q403" i="1"/>
  <c r="M407" i="1"/>
  <c r="E32" i="1"/>
  <c r="E30" i="1"/>
  <c r="E29" i="1"/>
  <c r="E28" i="1"/>
  <c r="E27" i="1"/>
  <c r="E26" i="1"/>
  <c r="E25" i="1"/>
  <c r="K34" i="10" l="1"/>
  <c r="P34" i="10" s="1"/>
  <c r="Q406" i="1" a="1"/>
  <c r="Q406" i="1" s="1"/>
  <c r="S406" i="1" s="1"/>
  <c r="S403" i="1"/>
  <c r="S411" i="1" s="1"/>
  <c r="S412" i="1" l="1"/>
  <c r="F29" i="10"/>
  <c r="E29" i="10"/>
  <c r="C31" i="10"/>
  <c r="C30" i="10" s="1"/>
  <c r="C29" i="10"/>
  <c r="D29" i="10"/>
  <c r="D31" i="10"/>
  <c r="E31" i="10"/>
  <c r="F31" i="10"/>
  <c r="E33" i="10" l="1"/>
  <c r="G29" i="10"/>
  <c r="C32" i="10"/>
  <c r="C33" i="10"/>
  <c r="D33" i="10"/>
  <c r="D30" i="10"/>
  <c r="D32" i="10" s="1"/>
  <c r="E30" i="10"/>
  <c r="E32" i="10" s="1"/>
  <c r="F33" i="10"/>
  <c r="F30" i="10"/>
  <c r="F32" i="10" s="1"/>
  <c r="G31" i="10"/>
  <c r="G30" i="10" l="1"/>
  <c r="H29" i="10" s="1"/>
  <c r="W24" i="1" l="1"/>
  <c r="W17" i="1"/>
  <c r="W18" i="1"/>
  <c r="W20" i="1"/>
  <c r="W21" i="1"/>
  <c r="S10" i="3"/>
  <c r="R10" i="3"/>
  <c r="Q10" i="3"/>
  <c r="T9" i="3"/>
  <c r="T8" i="3"/>
  <c r="T7" i="3"/>
  <c r="S10" i="4"/>
  <c r="R10" i="4"/>
  <c r="Q10" i="4"/>
  <c r="T9" i="4"/>
  <c r="T8" i="4"/>
  <c r="T7" i="4"/>
  <c r="S10" i="5"/>
  <c r="R10" i="5"/>
  <c r="Q10" i="5"/>
  <c r="T9" i="5"/>
  <c r="T8" i="5"/>
  <c r="T7" i="5"/>
  <c r="R70" i="6"/>
  <c r="S70" i="6"/>
  <c r="R71" i="6"/>
  <c r="S71" i="6"/>
  <c r="Q70" i="6"/>
  <c r="Q71" i="6"/>
  <c r="R69" i="6"/>
  <c r="S69" i="6"/>
  <c r="Q69" i="6"/>
  <c r="S10" i="6"/>
  <c r="R10" i="6"/>
  <c r="Q10" i="6"/>
  <c r="T9" i="6"/>
  <c r="T8" i="6"/>
  <c r="T7" i="6"/>
  <c r="S45" i="6"/>
  <c r="R45" i="6"/>
  <c r="Q45" i="6"/>
  <c r="T44" i="6"/>
  <c r="T43" i="6"/>
  <c r="T42" i="6"/>
  <c r="C85" i="7"/>
  <c r="D85" i="7" s="1"/>
  <c r="Q93" i="7"/>
  <c r="R93" i="7"/>
  <c r="S93" i="7"/>
  <c r="Q94" i="7"/>
  <c r="R94" i="7"/>
  <c r="S94" i="7"/>
  <c r="R92" i="7"/>
  <c r="S92" i="7"/>
  <c r="Q92" i="7"/>
  <c r="S10" i="7"/>
  <c r="R10" i="7"/>
  <c r="Q10" i="7"/>
  <c r="T9" i="7"/>
  <c r="T8" i="7"/>
  <c r="T7" i="7"/>
  <c r="S20" i="7"/>
  <c r="R20" i="7"/>
  <c r="Q20" i="7"/>
  <c r="T19" i="7"/>
  <c r="T18" i="7"/>
  <c r="T17" i="7"/>
  <c r="S57" i="7"/>
  <c r="R57" i="7"/>
  <c r="Q57" i="7"/>
  <c r="T56" i="7"/>
  <c r="T55" i="7"/>
  <c r="T54" i="7"/>
  <c r="T65" i="7"/>
  <c r="T66" i="7"/>
  <c r="T64" i="7"/>
  <c r="R67" i="7"/>
  <c r="S67" i="7"/>
  <c r="Q67" i="7"/>
  <c r="M87" i="7"/>
  <c r="N87" i="7"/>
  <c r="I87" i="7"/>
  <c r="E87" i="7"/>
  <c r="N61" i="7"/>
  <c r="F61" i="7"/>
  <c r="H61" i="7"/>
  <c r="I61" i="7"/>
  <c r="J61" i="7"/>
  <c r="L61" i="7"/>
  <c r="M61" i="7"/>
  <c r="E61" i="7"/>
  <c r="N86" i="7"/>
  <c r="I86" i="7"/>
  <c r="M86" i="7"/>
  <c r="E86" i="7"/>
  <c r="C63" i="7"/>
  <c r="F63" i="7"/>
  <c r="F86" i="7" s="1"/>
  <c r="L63" i="7"/>
  <c r="L86" i="7" s="1"/>
  <c r="C64" i="7"/>
  <c r="G64" i="7"/>
  <c r="K64" i="7"/>
  <c r="C65" i="7"/>
  <c r="G65" i="7"/>
  <c r="K65" i="7"/>
  <c r="C66" i="7"/>
  <c r="G66" i="7"/>
  <c r="K66" i="7"/>
  <c r="C67" i="7"/>
  <c r="H67" i="7"/>
  <c r="J67" i="7"/>
  <c r="C68" i="7"/>
  <c r="H68" i="7"/>
  <c r="J68" i="7"/>
  <c r="C69" i="7"/>
  <c r="H69" i="7"/>
  <c r="J69" i="7"/>
  <c r="C70" i="7"/>
  <c r="H70" i="7"/>
  <c r="J70" i="7"/>
  <c r="C71" i="7"/>
  <c r="H71" i="7"/>
  <c r="J71" i="7"/>
  <c r="C72" i="7"/>
  <c r="H72" i="7"/>
  <c r="J72" i="7"/>
  <c r="C73" i="7"/>
  <c r="H73" i="7"/>
  <c r="J73" i="7"/>
  <c r="C74" i="7"/>
  <c r="H74" i="7"/>
  <c r="J74" i="7"/>
  <c r="C75" i="7"/>
  <c r="H75" i="7"/>
  <c r="J75" i="7"/>
  <c r="C76" i="7"/>
  <c r="G76" i="7"/>
  <c r="K76" i="7"/>
  <c r="C77" i="7"/>
  <c r="G77" i="7"/>
  <c r="K77" i="7"/>
  <c r="C78" i="7"/>
  <c r="G78" i="7"/>
  <c r="K78" i="7"/>
  <c r="C79" i="7"/>
  <c r="G79" i="7"/>
  <c r="K79" i="7"/>
  <c r="C80" i="7"/>
  <c r="G80" i="7"/>
  <c r="K80" i="7"/>
  <c r="C81" i="7"/>
  <c r="G81" i="7"/>
  <c r="K81" i="7"/>
  <c r="C82" i="7"/>
  <c r="G82" i="7"/>
  <c r="K82" i="7"/>
  <c r="C83" i="7"/>
  <c r="G83" i="7"/>
  <c r="K83" i="7"/>
  <c r="C84" i="7"/>
  <c r="H84" i="7"/>
  <c r="J84" i="7"/>
  <c r="H85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63" i="7"/>
  <c r="C53" i="7"/>
  <c r="G53" i="7"/>
  <c r="K53" i="7"/>
  <c r="C54" i="7"/>
  <c r="G54" i="7"/>
  <c r="K54" i="7"/>
  <c r="C55" i="7"/>
  <c r="G55" i="7"/>
  <c r="K55" i="7"/>
  <c r="C56" i="7"/>
  <c r="G56" i="7"/>
  <c r="K56" i="7"/>
  <c r="C57" i="7"/>
  <c r="G57" i="7"/>
  <c r="K57" i="7"/>
  <c r="C58" i="7"/>
  <c r="G58" i="7"/>
  <c r="K58" i="7"/>
  <c r="C59" i="7"/>
  <c r="G59" i="7"/>
  <c r="K59" i="7"/>
  <c r="C60" i="7"/>
  <c r="G60" i="7"/>
  <c r="K60" i="7"/>
  <c r="B54" i="7"/>
  <c r="B55" i="7"/>
  <c r="B56" i="7"/>
  <c r="B57" i="7"/>
  <c r="B58" i="7"/>
  <c r="B59" i="7"/>
  <c r="B60" i="7"/>
  <c r="B53" i="7"/>
  <c r="I51" i="7"/>
  <c r="L51" i="7"/>
  <c r="M51" i="7"/>
  <c r="N51" i="7"/>
  <c r="E51" i="7"/>
  <c r="C16" i="7"/>
  <c r="H16" i="7"/>
  <c r="J16" i="7"/>
  <c r="C17" i="7"/>
  <c r="H17" i="7"/>
  <c r="J17" i="7"/>
  <c r="C18" i="7"/>
  <c r="H18" i="7"/>
  <c r="J18" i="7"/>
  <c r="C19" i="7"/>
  <c r="H19" i="7"/>
  <c r="J19" i="7"/>
  <c r="C20" i="7"/>
  <c r="H20" i="7"/>
  <c r="J20" i="7"/>
  <c r="C21" i="7"/>
  <c r="H21" i="7"/>
  <c r="J21" i="7"/>
  <c r="C22" i="7"/>
  <c r="H22" i="7"/>
  <c r="J22" i="7"/>
  <c r="C23" i="7"/>
  <c r="H23" i="7"/>
  <c r="J23" i="7"/>
  <c r="C24" i="7"/>
  <c r="H24" i="7"/>
  <c r="J24" i="7"/>
  <c r="C25" i="7"/>
  <c r="H25" i="7"/>
  <c r="J25" i="7"/>
  <c r="C26" i="7"/>
  <c r="D26" i="7"/>
  <c r="G26" i="7"/>
  <c r="K26" i="7"/>
  <c r="C27" i="7"/>
  <c r="G27" i="7"/>
  <c r="K27" i="7"/>
  <c r="C28" i="7"/>
  <c r="G28" i="7"/>
  <c r="K28" i="7"/>
  <c r="C29" i="7"/>
  <c r="G29" i="7"/>
  <c r="K29" i="7"/>
  <c r="C30" i="7"/>
  <c r="G30" i="7"/>
  <c r="K30" i="7"/>
  <c r="C31" i="7"/>
  <c r="G31" i="7"/>
  <c r="K31" i="7"/>
  <c r="C32" i="7"/>
  <c r="G32" i="7"/>
  <c r="K32" i="7"/>
  <c r="C33" i="7"/>
  <c r="G33" i="7"/>
  <c r="K33" i="7"/>
  <c r="C34" i="7"/>
  <c r="G34" i="7"/>
  <c r="K34" i="7"/>
  <c r="C35" i="7"/>
  <c r="G35" i="7"/>
  <c r="K35" i="7"/>
  <c r="C36" i="7"/>
  <c r="G36" i="7"/>
  <c r="K36" i="7"/>
  <c r="C37" i="7"/>
  <c r="H37" i="7"/>
  <c r="J37" i="7"/>
  <c r="C38" i="7"/>
  <c r="H38" i="7"/>
  <c r="J38" i="7"/>
  <c r="C39" i="7"/>
  <c r="G39" i="7"/>
  <c r="K39" i="7"/>
  <c r="C40" i="7"/>
  <c r="G40" i="7"/>
  <c r="K40" i="7"/>
  <c r="C41" i="7"/>
  <c r="G41" i="7"/>
  <c r="K41" i="7"/>
  <c r="C42" i="7"/>
  <c r="G42" i="7"/>
  <c r="K42" i="7"/>
  <c r="C43" i="7"/>
  <c r="G43" i="7"/>
  <c r="K43" i="7"/>
  <c r="C44" i="7"/>
  <c r="G44" i="7"/>
  <c r="K44" i="7"/>
  <c r="C45" i="7"/>
  <c r="G45" i="7"/>
  <c r="K45" i="7"/>
  <c r="C46" i="7"/>
  <c r="G46" i="7"/>
  <c r="K46" i="7"/>
  <c r="C47" i="7"/>
  <c r="G47" i="7"/>
  <c r="K47" i="7"/>
  <c r="C48" i="7"/>
  <c r="G48" i="7"/>
  <c r="K48" i="7"/>
  <c r="C49" i="7"/>
  <c r="F49" i="7"/>
  <c r="K49" i="7"/>
  <c r="C50" i="7"/>
  <c r="F50" i="7"/>
  <c r="K50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16" i="7"/>
  <c r="F14" i="7"/>
  <c r="G14" i="7"/>
  <c r="I14" i="7"/>
  <c r="L14" i="7"/>
  <c r="M14" i="7"/>
  <c r="N14" i="7"/>
  <c r="E14" i="7"/>
  <c r="C6" i="7"/>
  <c r="H6" i="7"/>
  <c r="J6" i="7"/>
  <c r="C7" i="7"/>
  <c r="H7" i="7"/>
  <c r="J7" i="7"/>
  <c r="C8" i="7"/>
  <c r="H8" i="7"/>
  <c r="K8" i="7"/>
  <c r="C9" i="7"/>
  <c r="H9" i="7"/>
  <c r="J9" i="7"/>
  <c r="C10" i="7"/>
  <c r="H10" i="7"/>
  <c r="K10" i="7"/>
  <c r="C11" i="7"/>
  <c r="H11" i="7"/>
  <c r="J11" i="7"/>
  <c r="C12" i="7"/>
  <c r="H12" i="7"/>
  <c r="K12" i="7"/>
  <c r="C13" i="7"/>
  <c r="H13" i="7"/>
  <c r="J13" i="7"/>
  <c r="B7" i="7"/>
  <c r="B8" i="7"/>
  <c r="B9" i="7"/>
  <c r="B10" i="7"/>
  <c r="B11" i="7"/>
  <c r="B12" i="7"/>
  <c r="B13" i="7"/>
  <c r="B6" i="7"/>
  <c r="N63" i="6"/>
  <c r="M63" i="6"/>
  <c r="I63" i="6"/>
  <c r="F63" i="6"/>
  <c r="E63" i="6"/>
  <c r="I39" i="6"/>
  <c r="L39" i="6"/>
  <c r="M39" i="6"/>
  <c r="N39" i="6"/>
  <c r="F39" i="6"/>
  <c r="E39" i="6"/>
  <c r="B6" i="6"/>
  <c r="C6" i="6"/>
  <c r="H6" i="6"/>
  <c r="J6" i="6"/>
  <c r="B7" i="6"/>
  <c r="C7" i="6"/>
  <c r="H7" i="6"/>
  <c r="J7" i="6"/>
  <c r="B8" i="6"/>
  <c r="C8" i="6"/>
  <c r="H8" i="6"/>
  <c r="J8" i="6"/>
  <c r="B9" i="6"/>
  <c r="C9" i="6"/>
  <c r="H9" i="6"/>
  <c r="J9" i="6"/>
  <c r="B10" i="6"/>
  <c r="C10" i="6"/>
  <c r="H10" i="6"/>
  <c r="J10" i="6"/>
  <c r="B11" i="6"/>
  <c r="C11" i="6"/>
  <c r="H11" i="6"/>
  <c r="J11" i="6"/>
  <c r="B12" i="6"/>
  <c r="C12" i="6"/>
  <c r="H12" i="6"/>
  <c r="J12" i="6"/>
  <c r="B13" i="6"/>
  <c r="C13" i="6"/>
  <c r="H13" i="6"/>
  <c r="J13" i="6"/>
  <c r="B14" i="6"/>
  <c r="C14" i="6"/>
  <c r="H14" i="6"/>
  <c r="J14" i="6"/>
  <c r="B15" i="6"/>
  <c r="C15" i="6"/>
  <c r="H15" i="6"/>
  <c r="J15" i="6"/>
  <c r="B16" i="6"/>
  <c r="C16" i="6"/>
  <c r="D16" i="6"/>
  <c r="G16" i="6"/>
  <c r="K16" i="6"/>
  <c r="B17" i="6"/>
  <c r="C17" i="6"/>
  <c r="G17" i="6"/>
  <c r="K17" i="6"/>
  <c r="B18" i="6"/>
  <c r="C18" i="6"/>
  <c r="G18" i="6"/>
  <c r="K18" i="6"/>
  <c r="B19" i="6"/>
  <c r="C19" i="6"/>
  <c r="G19" i="6"/>
  <c r="K19" i="6"/>
  <c r="B20" i="6"/>
  <c r="C20" i="6"/>
  <c r="G20" i="6"/>
  <c r="K20" i="6"/>
  <c r="B21" i="6"/>
  <c r="C21" i="6"/>
  <c r="G21" i="6"/>
  <c r="K21" i="6"/>
  <c r="B22" i="6"/>
  <c r="C22" i="6"/>
  <c r="G22" i="6"/>
  <c r="K22" i="6"/>
  <c r="B23" i="6"/>
  <c r="C23" i="6"/>
  <c r="G23" i="6"/>
  <c r="K23" i="6"/>
  <c r="B24" i="6"/>
  <c r="C24" i="6"/>
  <c r="G24" i="6"/>
  <c r="K24" i="6"/>
  <c r="B25" i="6"/>
  <c r="C25" i="6"/>
  <c r="G25" i="6"/>
  <c r="K25" i="6"/>
  <c r="B26" i="6"/>
  <c r="C26" i="6"/>
  <c r="G26" i="6"/>
  <c r="K26" i="6"/>
  <c r="B27" i="6"/>
  <c r="C27" i="6"/>
  <c r="H27" i="6"/>
  <c r="J27" i="6"/>
  <c r="B28" i="6"/>
  <c r="C28" i="6"/>
  <c r="H28" i="6"/>
  <c r="J28" i="6"/>
  <c r="B29" i="6"/>
  <c r="C29" i="6"/>
  <c r="G29" i="6"/>
  <c r="K29" i="6"/>
  <c r="B30" i="6"/>
  <c r="C30" i="6"/>
  <c r="G30" i="6"/>
  <c r="K30" i="6"/>
  <c r="B31" i="6"/>
  <c r="C31" i="6"/>
  <c r="G31" i="6"/>
  <c r="K31" i="6"/>
  <c r="B32" i="6"/>
  <c r="C32" i="6"/>
  <c r="G32" i="6"/>
  <c r="K32" i="6"/>
  <c r="B33" i="6"/>
  <c r="C33" i="6"/>
  <c r="G33" i="6"/>
  <c r="K33" i="6"/>
  <c r="B34" i="6"/>
  <c r="C34" i="6"/>
  <c r="G34" i="6"/>
  <c r="K34" i="6"/>
  <c r="B35" i="6"/>
  <c r="C35" i="6"/>
  <c r="G35" i="6"/>
  <c r="K35" i="6"/>
  <c r="B36" i="6"/>
  <c r="C36" i="6"/>
  <c r="G36" i="6"/>
  <c r="K36" i="6"/>
  <c r="B37" i="6"/>
  <c r="C37" i="6"/>
  <c r="G37" i="6"/>
  <c r="K37" i="6"/>
  <c r="E64" i="6"/>
  <c r="F64" i="6"/>
  <c r="I64" i="6"/>
  <c r="M64" i="6"/>
  <c r="N64" i="6"/>
  <c r="C41" i="6"/>
  <c r="G41" i="6"/>
  <c r="K41" i="6"/>
  <c r="C42" i="6"/>
  <c r="G42" i="6"/>
  <c r="K42" i="6"/>
  <c r="C43" i="6"/>
  <c r="G43" i="6"/>
  <c r="K43" i="6"/>
  <c r="C44" i="6"/>
  <c r="H44" i="6"/>
  <c r="J44" i="6"/>
  <c r="C45" i="6"/>
  <c r="H45" i="6"/>
  <c r="J45" i="6"/>
  <c r="C46" i="6"/>
  <c r="H46" i="6"/>
  <c r="J46" i="6"/>
  <c r="C47" i="6"/>
  <c r="H47" i="6"/>
  <c r="J47" i="6"/>
  <c r="C48" i="6"/>
  <c r="H48" i="6"/>
  <c r="J48" i="6"/>
  <c r="C49" i="6"/>
  <c r="H49" i="6"/>
  <c r="J49" i="6"/>
  <c r="C50" i="6"/>
  <c r="H50" i="6"/>
  <c r="J50" i="6"/>
  <c r="C51" i="6"/>
  <c r="H51" i="6"/>
  <c r="J51" i="6"/>
  <c r="C52" i="6"/>
  <c r="H52" i="6"/>
  <c r="J52" i="6"/>
  <c r="C53" i="6"/>
  <c r="G53" i="6"/>
  <c r="K53" i="6"/>
  <c r="C54" i="6"/>
  <c r="G54" i="6"/>
  <c r="K54" i="6"/>
  <c r="C55" i="6"/>
  <c r="G55" i="6"/>
  <c r="K55" i="6"/>
  <c r="C56" i="6"/>
  <c r="G56" i="6"/>
  <c r="K56" i="6"/>
  <c r="C57" i="6"/>
  <c r="G57" i="6"/>
  <c r="K57" i="6"/>
  <c r="C58" i="6"/>
  <c r="G58" i="6"/>
  <c r="K58" i="6"/>
  <c r="C59" i="6"/>
  <c r="G59" i="6"/>
  <c r="K59" i="6"/>
  <c r="C60" i="6"/>
  <c r="G60" i="6"/>
  <c r="K60" i="6"/>
  <c r="C61" i="6"/>
  <c r="H61" i="6"/>
  <c r="J61" i="6"/>
  <c r="C62" i="6"/>
  <c r="H62" i="6"/>
  <c r="L62" i="6"/>
  <c r="L64" i="6" s="1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41" i="6"/>
  <c r="C38" i="6"/>
  <c r="G38" i="6"/>
  <c r="K38" i="6"/>
  <c r="B38" i="6"/>
  <c r="N41" i="5"/>
  <c r="M41" i="5"/>
  <c r="L41" i="5"/>
  <c r="E41" i="5"/>
  <c r="D14" i="2"/>
  <c r="C7" i="5"/>
  <c r="H7" i="5"/>
  <c r="J7" i="5"/>
  <c r="C8" i="5"/>
  <c r="H8" i="5"/>
  <c r="J8" i="5"/>
  <c r="C9" i="5"/>
  <c r="H9" i="5"/>
  <c r="J9" i="5"/>
  <c r="C10" i="5"/>
  <c r="H10" i="5"/>
  <c r="J10" i="5"/>
  <c r="C11" i="5"/>
  <c r="H11" i="5"/>
  <c r="J11" i="5"/>
  <c r="C12" i="5"/>
  <c r="H12" i="5"/>
  <c r="J12" i="5"/>
  <c r="C13" i="5"/>
  <c r="H13" i="5"/>
  <c r="J13" i="5"/>
  <c r="C14" i="5"/>
  <c r="H14" i="5"/>
  <c r="J14" i="5"/>
  <c r="C15" i="5"/>
  <c r="H15" i="5"/>
  <c r="J15" i="5"/>
  <c r="C16" i="5"/>
  <c r="D16" i="5"/>
  <c r="G16" i="5"/>
  <c r="K16" i="5"/>
  <c r="C17" i="5"/>
  <c r="G17" i="5"/>
  <c r="K17" i="5"/>
  <c r="C18" i="5"/>
  <c r="G18" i="5"/>
  <c r="K18" i="5"/>
  <c r="C19" i="5"/>
  <c r="G19" i="5"/>
  <c r="K19" i="5"/>
  <c r="C20" i="5"/>
  <c r="G20" i="5"/>
  <c r="K20" i="5"/>
  <c r="C21" i="5"/>
  <c r="G21" i="5"/>
  <c r="K21" i="5"/>
  <c r="C22" i="5"/>
  <c r="G22" i="5"/>
  <c r="K22" i="5"/>
  <c r="C23" i="5"/>
  <c r="G23" i="5"/>
  <c r="K23" i="5"/>
  <c r="C24" i="5"/>
  <c r="G24" i="5"/>
  <c r="K24" i="5"/>
  <c r="C25" i="5"/>
  <c r="G25" i="5"/>
  <c r="K25" i="5"/>
  <c r="C26" i="5"/>
  <c r="G26" i="5"/>
  <c r="K26" i="5"/>
  <c r="C27" i="5"/>
  <c r="H27" i="5"/>
  <c r="J27" i="5"/>
  <c r="C28" i="5"/>
  <c r="H28" i="5"/>
  <c r="J28" i="5"/>
  <c r="C29" i="5"/>
  <c r="G29" i="5"/>
  <c r="K29" i="5"/>
  <c r="C30" i="5"/>
  <c r="G30" i="5"/>
  <c r="K30" i="5"/>
  <c r="C31" i="5"/>
  <c r="G31" i="5"/>
  <c r="K31" i="5"/>
  <c r="C32" i="5"/>
  <c r="G32" i="5"/>
  <c r="K32" i="5"/>
  <c r="C33" i="5"/>
  <c r="G33" i="5"/>
  <c r="K33" i="5"/>
  <c r="C34" i="5"/>
  <c r="G34" i="5"/>
  <c r="K34" i="5"/>
  <c r="C35" i="5"/>
  <c r="G35" i="5"/>
  <c r="K35" i="5"/>
  <c r="C36" i="5"/>
  <c r="G36" i="5"/>
  <c r="K36" i="5"/>
  <c r="C37" i="5"/>
  <c r="G37" i="5"/>
  <c r="K37" i="5"/>
  <c r="C38" i="5"/>
  <c r="G38" i="5"/>
  <c r="K38" i="5"/>
  <c r="C39" i="5"/>
  <c r="F39" i="5"/>
  <c r="K39" i="5"/>
  <c r="C40" i="5"/>
  <c r="F40" i="5"/>
  <c r="K40" i="5"/>
  <c r="B39" i="5"/>
  <c r="B40" i="5"/>
  <c r="B28" i="5"/>
  <c r="B29" i="5"/>
  <c r="B30" i="5"/>
  <c r="B31" i="5"/>
  <c r="B32" i="5"/>
  <c r="B33" i="5"/>
  <c r="B34" i="5"/>
  <c r="B35" i="5"/>
  <c r="B36" i="5"/>
  <c r="B37" i="5"/>
  <c r="B38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C6" i="5"/>
  <c r="H6" i="5"/>
  <c r="J6" i="5"/>
  <c r="B6" i="5"/>
  <c r="F6" i="4"/>
  <c r="F29" i="4" s="1"/>
  <c r="L6" i="4"/>
  <c r="C6" i="4"/>
  <c r="B6" i="4"/>
  <c r="E29" i="4"/>
  <c r="G7" i="4"/>
  <c r="K7" i="4"/>
  <c r="C7" i="4"/>
  <c r="M29" i="4"/>
  <c r="B7" i="4"/>
  <c r="N29" i="4"/>
  <c r="B8" i="4"/>
  <c r="C8" i="4"/>
  <c r="G8" i="4"/>
  <c r="K8" i="4"/>
  <c r="B9" i="4"/>
  <c r="C9" i="4"/>
  <c r="G9" i="4"/>
  <c r="K9" i="4"/>
  <c r="B10" i="4"/>
  <c r="C10" i="4"/>
  <c r="H10" i="4"/>
  <c r="J10" i="4"/>
  <c r="B11" i="4"/>
  <c r="C11" i="4"/>
  <c r="H11" i="4"/>
  <c r="J11" i="4"/>
  <c r="B12" i="4"/>
  <c r="C12" i="4"/>
  <c r="H12" i="4"/>
  <c r="J12" i="4"/>
  <c r="B13" i="4"/>
  <c r="C13" i="4"/>
  <c r="H13" i="4"/>
  <c r="J13" i="4"/>
  <c r="B14" i="4"/>
  <c r="C14" i="4"/>
  <c r="H14" i="4"/>
  <c r="J14" i="4"/>
  <c r="B15" i="4"/>
  <c r="C15" i="4"/>
  <c r="H15" i="4"/>
  <c r="J15" i="4"/>
  <c r="B16" i="4"/>
  <c r="C16" i="4"/>
  <c r="H16" i="4"/>
  <c r="J16" i="4"/>
  <c r="B17" i="4"/>
  <c r="C17" i="4"/>
  <c r="H17" i="4"/>
  <c r="J17" i="4"/>
  <c r="B18" i="4"/>
  <c r="C18" i="4"/>
  <c r="H18" i="4"/>
  <c r="J18" i="4"/>
  <c r="B19" i="4"/>
  <c r="C19" i="4"/>
  <c r="G19" i="4"/>
  <c r="K19" i="4"/>
  <c r="B20" i="4"/>
  <c r="C20" i="4"/>
  <c r="G20" i="4"/>
  <c r="K20" i="4"/>
  <c r="B21" i="4"/>
  <c r="C21" i="4"/>
  <c r="G21" i="4"/>
  <c r="K21" i="4"/>
  <c r="B22" i="4"/>
  <c r="C22" i="4"/>
  <c r="G22" i="4"/>
  <c r="K22" i="4"/>
  <c r="B23" i="4"/>
  <c r="C23" i="4"/>
  <c r="G23" i="4"/>
  <c r="K23" i="4"/>
  <c r="B24" i="4"/>
  <c r="C24" i="4"/>
  <c r="G24" i="4"/>
  <c r="K24" i="4"/>
  <c r="B25" i="4"/>
  <c r="C25" i="4"/>
  <c r="G25" i="4"/>
  <c r="K25" i="4"/>
  <c r="B26" i="4"/>
  <c r="C26" i="4"/>
  <c r="G26" i="4"/>
  <c r="K26" i="4"/>
  <c r="B27" i="4"/>
  <c r="C27" i="4"/>
  <c r="H27" i="4"/>
  <c r="J27" i="4"/>
  <c r="B28" i="4"/>
  <c r="C28" i="4"/>
  <c r="H28" i="4"/>
  <c r="L28" i="4"/>
  <c r="E20" i="3"/>
  <c r="F20" i="3"/>
  <c r="L20" i="3"/>
  <c r="M20" i="3"/>
  <c r="N20" i="3"/>
  <c r="B7" i="3"/>
  <c r="C7" i="3"/>
  <c r="H7" i="3"/>
  <c r="J7" i="3"/>
  <c r="B8" i="3"/>
  <c r="C8" i="3"/>
  <c r="H8" i="3"/>
  <c r="J8" i="3"/>
  <c r="B9" i="3"/>
  <c r="C9" i="3"/>
  <c r="H9" i="3"/>
  <c r="J9" i="3"/>
  <c r="B10" i="3"/>
  <c r="C10" i="3"/>
  <c r="H10" i="3"/>
  <c r="J10" i="3"/>
  <c r="B11" i="3"/>
  <c r="C11" i="3"/>
  <c r="H11" i="3"/>
  <c r="J11" i="3"/>
  <c r="B12" i="3"/>
  <c r="C12" i="3"/>
  <c r="H12" i="3"/>
  <c r="J12" i="3"/>
  <c r="B13" i="3"/>
  <c r="C13" i="3"/>
  <c r="H13" i="3"/>
  <c r="J13" i="3"/>
  <c r="B14" i="3"/>
  <c r="C14" i="3"/>
  <c r="H14" i="3"/>
  <c r="J14" i="3"/>
  <c r="B15" i="3"/>
  <c r="C15" i="3"/>
  <c r="G15" i="3"/>
  <c r="K15" i="3"/>
  <c r="B16" i="3"/>
  <c r="C16" i="3"/>
  <c r="G16" i="3"/>
  <c r="K16" i="3"/>
  <c r="B17" i="3"/>
  <c r="C17" i="3"/>
  <c r="G17" i="3"/>
  <c r="K17" i="3"/>
  <c r="B18" i="3"/>
  <c r="C18" i="3"/>
  <c r="G18" i="3"/>
  <c r="K18" i="3"/>
  <c r="B19" i="3"/>
  <c r="C19" i="3"/>
  <c r="G19" i="3"/>
  <c r="K19" i="3"/>
  <c r="C6" i="3"/>
  <c r="H6" i="3"/>
  <c r="J6" i="3"/>
  <c r="B6" i="3"/>
  <c r="D13" i="2"/>
  <c r="D12" i="2"/>
  <c r="D11" i="2"/>
  <c r="D10" i="2"/>
  <c r="D9" i="2"/>
  <c r="D8" i="2"/>
  <c r="D7" i="2"/>
  <c r="D6" i="2"/>
  <c r="D361" i="1"/>
  <c r="D367" i="1"/>
  <c r="E6" i="1"/>
  <c r="E7" i="1"/>
  <c r="E8" i="1"/>
  <c r="E9" i="1"/>
  <c r="E11" i="1"/>
  <c r="E12" i="1"/>
  <c r="E15" i="1"/>
  <c r="E16" i="1"/>
  <c r="E17" i="1"/>
  <c r="E18" i="1"/>
  <c r="E19" i="1"/>
  <c r="E20" i="1"/>
  <c r="E21" i="1"/>
  <c r="E22" i="1"/>
  <c r="E23" i="1"/>
  <c r="E24" i="1"/>
  <c r="D6" i="7"/>
  <c r="D7" i="7"/>
  <c r="D8" i="7"/>
  <c r="D9" i="7"/>
  <c r="D10" i="7"/>
  <c r="D11" i="7"/>
  <c r="D12" i="7"/>
  <c r="D13" i="7"/>
  <c r="D6" i="5"/>
  <c r="D17" i="7"/>
  <c r="D18" i="7"/>
  <c r="D9" i="5"/>
  <c r="D20" i="7"/>
  <c r="D11" i="5"/>
  <c r="D22" i="7"/>
  <c r="D23" i="7"/>
  <c r="D14" i="5"/>
  <c r="D15" i="5"/>
  <c r="D27" i="7"/>
  <c r="D18" i="5"/>
  <c r="D29" i="7"/>
  <c r="D20" i="5"/>
  <c r="D21" i="5"/>
  <c r="D32" i="7"/>
  <c r="D33" i="7"/>
  <c r="D24" i="5"/>
  <c r="D25" i="6"/>
  <c r="D26" i="5"/>
  <c r="D37" i="7"/>
  <c r="D38" i="7"/>
  <c r="D29" i="5"/>
  <c r="D31" i="5"/>
  <c r="D42" i="7"/>
  <c r="D33" i="6"/>
  <c r="D34" i="5"/>
  <c r="D35" i="5"/>
  <c r="D36" i="6"/>
  <c r="D47" i="7"/>
  <c r="D48" i="7"/>
  <c r="D39" i="5"/>
  <c r="D50" i="7"/>
  <c r="D53" i="7"/>
  <c r="D54" i="7"/>
  <c r="D55" i="7"/>
  <c r="D56" i="7"/>
  <c r="D57" i="7"/>
  <c r="D58" i="7"/>
  <c r="D59" i="7"/>
  <c r="D60" i="7"/>
  <c r="D63" i="7"/>
  <c r="D64" i="7"/>
  <c r="D8" i="4"/>
  <c r="D9" i="4"/>
  <c r="D67" i="7"/>
  <c r="D68" i="7"/>
  <c r="D69" i="7"/>
  <c r="D70" i="7"/>
  <c r="D48" i="6"/>
  <c r="D49" i="6"/>
  <c r="D73" i="7"/>
  <c r="D74" i="7"/>
  <c r="D75" i="7"/>
  <c r="D19" i="4"/>
  <c r="D20" i="4"/>
  <c r="D78" i="7"/>
  <c r="D79" i="7"/>
  <c r="D23" i="4"/>
  <c r="D24" i="4"/>
  <c r="D59" i="6"/>
  <c r="D83" i="7"/>
  <c r="D84" i="7"/>
  <c r="D62" i="6"/>
  <c r="E354" i="1"/>
  <c r="E355" i="1"/>
  <c r="E356" i="1"/>
  <c r="E357" i="1"/>
  <c r="E358" i="1"/>
  <c r="E359" i="1"/>
  <c r="D30" i="5"/>
  <c r="W25" i="1" l="1"/>
  <c r="J403" i="1" a="1"/>
  <c r="J403" i="1" s="1"/>
  <c r="J411" i="1" s="1"/>
  <c r="B17" i="2"/>
  <c r="D17" i="4"/>
  <c r="D26" i="6"/>
  <c r="Q72" i="6"/>
  <c r="D27" i="5"/>
  <c r="D15" i="3"/>
  <c r="D12" i="5"/>
  <c r="D72" i="7"/>
  <c r="D46" i="6"/>
  <c r="D21" i="7"/>
  <c r="D28" i="4"/>
  <c r="T70" i="6"/>
  <c r="D25" i="5"/>
  <c r="D19" i="6"/>
  <c r="D35" i="7"/>
  <c r="D43" i="6"/>
  <c r="D40" i="5"/>
  <c r="D66" i="7"/>
  <c r="D27" i="6"/>
  <c r="T10" i="6"/>
  <c r="D34" i="7"/>
  <c r="S95" i="7"/>
  <c r="AA9" i="1"/>
  <c r="AA10" i="1"/>
  <c r="D10" i="3"/>
  <c r="D14" i="4"/>
  <c r="D22" i="5"/>
  <c r="D19" i="5"/>
  <c r="D56" i="6"/>
  <c r="D49" i="7"/>
  <c r="D31" i="7"/>
  <c r="D28" i="7"/>
  <c r="D76" i="7"/>
  <c r="D22" i="4"/>
  <c r="D32" i="5"/>
  <c r="D52" i="6"/>
  <c r="D21" i="6"/>
  <c r="D41" i="7"/>
  <c r="D7" i="5"/>
  <c r="D45" i="6"/>
  <c r="D42" i="6"/>
  <c r="D31" i="6"/>
  <c r="D23" i="6"/>
  <c r="D7" i="6"/>
  <c r="D16" i="7"/>
  <c r="D65" i="7"/>
  <c r="Q95" i="7"/>
  <c r="T10" i="5"/>
  <c r="D18" i="6"/>
  <c r="D30" i="7"/>
  <c r="D6" i="3"/>
  <c r="D9" i="3"/>
  <c r="D13" i="4"/>
  <c r="D51" i="6"/>
  <c r="D40" i="7"/>
  <c r="D71" i="7"/>
  <c r="D14" i="3"/>
  <c r="D18" i="4"/>
  <c r="D20" i="6"/>
  <c r="D36" i="7"/>
  <c r="T45" i="6"/>
  <c r="D7" i="3"/>
  <c r="D11" i="3"/>
  <c r="D10" i="4"/>
  <c r="D47" i="6"/>
  <c r="D44" i="6"/>
  <c r="D19" i="3"/>
  <c r="D57" i="6"/>
  <c r="D30" i="6"/>
  <c r="D22" i="6"/>
  <c r="D6" i="6"/>
  <c r="D77" i="7"/>
  <c r="D50" i="6"/>
  <c r="T71" i="6"/>
  <c r="T10" i="4"/>
  <c r="D12" i="4"/>
  <c r="D11" i="6"/>
  <c r="V11" i="1"/>
  <c r="X11" i="1"/>
  <c r="Y11" i="1"/>
  <c r="Z11" i="1"/>
  <c r="AA8" i="1"/>
  <c r="F41" i="5"/>
  <c r="G63" i="6"/>
  <c r="D17" i="5"/>
  <c r="K63" i="6"/>
  <c r="D26" i="4"/>
  <c r="K41" i="5"/>
  <c r="D6" i="4"/>
  <c r="D10" i="5"/>
  <c r="D44" i="7"/>
  <c r="D39" i="7"/>
  <c r="D19" i="7"/>
  <c r="H41" i="5"/>
  <c r="D80" i="7"/>
  <c r="D54" i="6"/>
  <c r="C86" i="7"/>
  <c r="D13" i="3"/>
  <c r="D16" i="4"/>
  <c r="D17" i="6"/>
  <c r="D37" i="5"/>
  <c r="D46" i="7"/>
  <c r="H17" i="2"/>
  <c r="J63" i="6"/>
  <c r="D25" i="4"/>
  <c r="D60" i="6"/>
  <c r="D55" i="6"/>
  <c r="D10" i="6"/>
  <c r="C61" i="7"/>
  <c r="D37" i="6"/>
  <c r="B63" i="6"/>
  <c r="D58" i="6"/>
  <c r="K39" i="6"/>
  <c r="J39" i="6"/>
  <c r="G39" i="6"/>
  <c r="H39" i="6"/>
  <c r="D7" i="4"/>
  <c r="D35" i="6"/>
  <c r="D15" i="6"/>
  <c r="D82" i="7"/>
  <c r="D61" i="6"/>
  <c r="D41" i="6"/>
  <c r="G41" i="5"/>
  <c r="C63" i="6"/>
  <c r="D63" i="6" s="1"/>
  <c r="D36" i="5"/>
  <c r="D45" i="7"/>
  <c r="D25" i="7"/>
  <c r="C42" i="5"/>
  <c r="C43" i="5" s="1"/>
  <c r="H63" i="6"/>
  <c r="D81" i="7"/>
  <c r="D18" i="3"/>
  <c r="D14" i="6"/>
  <c r="D13" i="6"/>
  <c r="D38" i="6"/>
  <c r="D43" i="7"/>
  <c r="D53" i="6"/>
  <c r="D16" i="3"/>
  <c r="D12" i="3"/>
  <c r="D8" i="3"/>
  <c r="D27" i="4"/>
  <c r="D15" i="4"/>
  <c r="D11" i="4"/>
  <c r="D38" i="5"/>
  <c r="D33" i="5"/>
  <c r="D28" i="5"/>
  <c r="D23" i="5"/>
  <c r="D13" i="5"/>
  <c r="D8" i="5"/>
  <c r="D32" i="6"/>
  <c r="D28" i="6"/>
  <c r="D24" i="6"/>
  <c r="D12" i="6"/>
  <c r="D8" i="6"/>
  <c r="D21" i="4"/>
  <c r="D34" i="6"/>
  <c r="J41" i="5"/>
  <c r="D24" i="7"/>
  <c r="D17" i="3"/>
  <c r="D29" i="6"/>
  <c r="D9" i="6"/>
  <c r="B39" i="6"/>
  <c r="B61" i="7"/>
  <c r="C39" i="6"/>
  <c r="D39" i="6" s="1"/>
  <c r="L63" i="6"/>
  <c r="T10" i="3"/>
  <c r="C21" i="3"/>
  <c r="C22" i="3" s="1"/>
  <c r="K20" i="3"/>
  <c r="G20" i="3"/>
  <c r="J20" i="3"/>
  <c r="H20" i="3"/>
  <c r="S72" i="6"/>
  <c r="R72" i="6"/>
  <c r="T69" i="6"/>
  <c r="K61" i="7"/>
  <c r="H86" i="7"/>
  <c r="R95" i="7"/>
  <c r="B14" i="7"/>
  <c r="G61" i="7"/>
  <c r="F87" i="7"/>
  <c r="B86" i="7"/>
  <c r="C88" i="7"/>
  <c r="C89" i="7" s="1"/>
  <c r="G86" i="7"/>
  <c r="J87" i="7"/>
  <c r="H87" i="7"/>
  <c r="K86" i="7"/>
  <c r="G87" i="7"/>
  <c r="J86" i="7"/>
  <c r="K87" i="7"/>
  <c r="T93" i="7"/>
  <c r="T94" i="7"/>
  <c r="T57" i="7"/>
  <c r="T92" i="7"/>
  <c r="L87" i="7"/>
  <c r="T67" i="7"/>
  <c r="T20" i="7"/>
  <c r="T10" i="7"/>
  <c r="K51" i="7"/>
  <c r="J51" i="7"/>
  <c r="B51" i="7"/>
  <c r="F51" i="7"/>
  <c r="C14" i="7"/>
  <c r="D14" i="7" s="1"/>
  <c r="C51" i="7"/>
  <c r="D51" i="7" s="1"/>
  <c r="J14" i="7"/>
  <c r="G51" i="7"/>
  <c r="H51" i="7"/>
  <c r="K14" i="7"/>
  <c r="H14" i="7"/>
  <c r="K64" i="6"/>
  <c r="H64" i="6"/>
  <c r="G64" i="6"/>
  <c r="J64" i="6"/>
  <c r="C65" i="6"/>
  <c r="C66" i="6" s="1"/>
  <c r="I17" i="2"/>
  <c r="M17" i="2"/>
  <c r="L17" i="2"/>
  <c r="K17" i="2"/>
  <c r="J17" i="2"/>
  <c r="F17" i="2"/>
  <c r="B18" i="2"/>
  <c r="B20" i="2" s="1"/>
  <c r="L29" i="4"/>
  <c r="J29" i="4"/>
  <c r="C30" i="4"/>
  <c r="C31" i="4" s="1"/>
  <c r="K29" i="4"/>
  <c r="G29" i="4"/>
  <c r="H29" i="4"/>
  <c r="E361" i="1"/>
  <c r="I364" i="1"/>
  <c r="J364" i="1"/>
  <c r="L364" i="1"/>
  <c r="K364" i="1" l="1"/>
  <c r="K403" i="1"/>
  <c r="J413" i="1" a="1"/>
  <c r="J413" i="1" s="1"/>
  <c r="J43" i="5"/>
  <c r="M42" i="5" s="1"/>
  <c r="T95" i="7"/>
  <c r="T72" i="6"/>
  <c r="AA11" i="1"/>
  <c r="J66" i="6"/>
  <c r="N65" i="6" s="1"/>
  <c r="B21" i="2"/>
  <c r="B23" i="2" s="1"/>
  <c r="J22" i="3"/>
  <c r="J89" i="7"/>
  <c r="J88" i="7" s="1"/>
  <c r="I20" i="2"/>
  <c r="M18" i="2" s="1"/>
  <c r="J31" i="4"/>
  <c r="M30" i="4" s="1"/>
  <c r="P364" i="1"/>
  <c r="N364" i="1"/>
  <c r="M364" i="1"/>
  <c r="G17" i="2" l="1"/>
  <c r="M403" i="1"/>
  <c r="M411" i="1" s="1"/>
  <c r="M412" i="1" s="1"/>
  <c r="L403" i="1"/>
  <c r="K411" i="1"/>
  <c r="D415" i="1" a="1"/>
  <c r="D415" i="1" s="1"/>
  <c r="K42" i="5"/>
  <c r="L42" i="5"/>
  <c r="J42" i="5"/>
  <c r="N42" i="5"/>
  <c r="J65" i="6"/>
  <c r="I18" i="2"/>
  <c r="M65" i="6"/>
  <c r="L65" i="6"/>
  <c r="K65" i="6"/>
  <c r="L18" i="2"/>
  <c r="K18" i="2"/>
  <c r="J18" i="2"/>
  <c r="K21" i="3"/>
  <c r="J21" i="3"/>
  <c r="M21" i="3"/>
  <c r="N21" i="3"/>
  <c r="L21" i="3"/>
  <c r="M88" i="7"/>
  <c r="N88" i="7"/>
  <c r="K88" i="7"/>
  <c r="L88" i="7"/>
  <c r="D61" i="7"/>
  <c r="D86" i="7"/>
  <c r="N30" i="4"/>
  <c r="K30" i="4"/>
  <c r="J30" i="4"/>
  <c r="L30" i="4"/>
  <c r="L366" i="1"/>
  <c r="O365" i="1" l="1"/>
  <c r="Q365" i="1"/>
  <c r="N365" i="1"/>
  <c r="P365" i="1"/>
  <c r="L365" i="1"/>
  <c r="M365" i="1"/>
  <c r="E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<sst xmlns="http://schemas.openxmlformats.org/spreadsheetml/2006/main" count="2514" uniqueCount="326">
  <si>
    <t>Plot No:</t>
  </si>
  <si>
    <t>Parking On-Plot:</t>
  </si>
  <si>
    <t>Beds</t>
  </si>
  <si>
    <t>Duplex Maisonette:</t>
  </si>
  <si>
    <t>Sqm.</t>
  </si>
  <si>
    <t>Grand Total No of Plots:</t>
  </si>
  <si>
    <t>Total GIA (sq.m.):</t>
  </si>
  <si>
    <t>Grand Total (sq.m):</t>
  </si>
  <si>
    <t>Grand Total (sq.ft.):</t>
  </si>
  <si>
    <t>Y</t>
  </si>
  <si>
    <t>Retail 1</t>
  </si>
  <si>
    <t>Retail 2</t>
  </si>
  <si>
    <t>Retail 3</t>
  </si>
  <si>
    <t>Retail 4</t>
  </si>
  <si>
    <t>Retail 5</t>
  </si>
  <si>
    <t>Concierge</t>
  </si>
  <si>
    <t>House</t>
  </si>
  <si>
    <t>Duplex Flat</t>
  </si>
  <si>
    <t>Flat</t>
  </si>
  <si>
    <t>Sqft.</t>
  </si>
  <si>
    <t>Artist Mews</t>
  </si>
  <si>
    <t>Crown Court</t>
  </si>
  <si>
    <t>Falkland Place</t>
  </si>
  <si>
    <t>Smith's Yard</t>
  </si>
  <si>
    <t>Alma Court</t>
  </si>
  <si>
    <t>Victoria &amp; Edward House</t>
  </si>
  <si>
    <t>Plenty's Place</t>
  </si>
  <si>
    <t>Iron Yard</t>
  </si>
  <si>
    <t>Gross GIA (GSHP, Bin Stores, Cycle Stores, Stair Cores)  Excludes the Exisiting ESS</t>
  </si>
  <si>
    <t>1B</t>
  </si>
  <si>
    <t>2B</t>
  </si>
  <si>
    <t>3B</t>
  </si>
  <si>
    <t>Garages</t>
  </si>
  <si>
    <t>Cycle Stores</t>
  </si>
  <si>
    <t>GSHP Plant Rooms</t>
  </si>
  <si>
    <t>Stair Cores &amp; Communal Areas</t>
  </si>
  <si>
    <t>Roof Terrace Area</t>
  </si>
  <si>
    <t>TOTAL</t>
  </si>
  <si>
    <t>Kennet Old Town, Newbury - Residential Scheme (19401)</t>
  </si>
  <si>
    <t>Total Commercial</t>
  </si>
  <si>
    <t>Balconies</t>
  </si>
  <si>
    <t>Total Plots</t>
  </si>
  <si>
    <t>Total Sqm.</t>
  </si>
  <si>
    <t>Total Sqft.</t>
  </si>
  <si>
    <t>Court Yard Name:</t>
  </si>
  <si>
    <t>Eagle Yard</t>
  </si>
  <si>
    <t>Plentys Place &amp; Smiths Yard</t>
  </si>
  <si>
    <t>Edward House</t>
  </si>
  <si>
    <t>Commercial</t>
  </si>
  <si>
    <t>Total Residential GIA (sq.m.):</t>
  </si>
  <si>
    <t>Sub-Total</t>
  </si>
  <si>
    <t>Chestnut House</t>
  </si>
  <si>
    <t>Vicotria House</t>
  </si>
  <si>
    <t>Summary Table</t>
  </si>
  <si>
    <t>Duplex Maisonette</t>
  </si>
  <si>
    <t>Total</t>
  </si>
  <si>
    <t>Iron Yard Summary Table</t>
  </si>
  <si>
    <t>DM</t>
  </si>
  <si>
    <t>DF</t>
  </si>
  <si>
    <t>F</t>
  </si>
  <si>
    <t>Victoria House Summary Table</t>
  </si>
  <si>
    <t>Chestnut House Summary Table</t>
  </si>
  <si>
    <t>Edward House Summary Table</t>
  </si>
  <si>
    <t>H</t>
  </si>
  <si>
    <t>Amenity</t>
  </si>
  <si>
    <t>4B</t>
  </si>
  <si>
    <t>Roof Terrace</t>
  </si>
  <si>
    <t>Frontage Amenity</t>
  </si>
  <si>
    <t>Community Amenity</t>
  </si>
  <si>
    <t>Balcony</t>
  </si>
  <si>
    <t>Shared Garden</t>
  </si>
  <si>
    <t>Amenity Summary</t>
  </si>
  <si>
    <t>Number of Plots</t>
  </si>
  <si>
    <t>Type of Amenity</t>
  </si>
  <si>
    <t>MULTI FAMILY</t>
  </si>
  <si>
    <t>Maisonette/ Duplex Maisonette:</t>
  </si>
  <si>
    <t>Proposed Single Family Average Unit Size</t>
  </si>
  <si>
    <t>Number of Beds:</t>
  </si>
  <si>
    <t>Single Family Split</t>
  </si>
  <si>
    <t>Average Unit Size Sqm.</t>
  </si>
  <si>
    <t>GRAND TOTAL:</t>
  </si>
  <si>
    <t>AVE. UNIT SIZE (sq.ft):</t>
  </si>
  <si>
    <t>-</t>
  </si>
  <si>
    <t>M/DM</t>
  </si>
  <si>
    <t>Average Unit Size Sqft.</t>
  </si>
  <si>
    <t>Revised Single Family Summary Table</t>
  </si>
  <si>
    <t>Multi Family Split</t>
  </si>
  <si>
    <t>Revised Multi Family Summary Table</t>
  </si>
  <si>
    <t>Proposed Multi Family Average Unit Size</t>
  </si>
  <si>
    <t>Total Number of Dwellings</t>
  </si>
  <si>
    <t xml:space="preserve"> Old Town, Newbury - Residential Scheme (19401)</t>
  </si>
  <si>
    <t>Proposed Average Unit Size</t>
  </si>
  <si>
    <t>SINGLE FAMILY</t>
  </si>
  <si>
    <t>Bin Stores</t>
  </si>
  <si>
    <t>Alma Court &amp; Ashton Court</t>
  </si>
  <si>
    <t>Courtyard</t>
  </si>
  <si>
    <t>Artist Mews &amp; Eagle Yard</t>
  </si>
  <si>
    <t>Misc.</t>
  </si>
  <si>
    <t>Number of Lifts</t>
  </si>
  <si>
    <t>Old Town, Newbury - Residential Scheme (19401)</t>
  </si>
  <si>
    <t>Total (Sqm)</t>
  </si>
  <si>
    <t>Parking Spaces</t>
  </si>
  <si>
    <t>Cycle Parking</t>
  </si>
  <si>
    <t>Parking in Garage</t>
  </si>
  <si>
    <t>Total Car Parking</t>
  </si>
  <si>
    <t>Total Cycle Parking</t>
  </si>
  <si>
    <t>Sub-total</t>
  </si>
  <si>
    <t>Cycle Parking in Car Park</t>
  </si>
  <si>
    <t>Required Cycle Parking</t>
  </si>
  <si>
    <t>(1B =1 per Unit | 2B+ = 2 Per Unit)</t>
  </si>
  <si>
    <t>Vicotria Court &amp; Edward House</t>
  </si>
  <si>
    <t>Difference</t>
  </si>
  <si>
    <t>H/L</t>
  </si>
  <si>
    <t>Number of 1B</t>
  </si>
  <si>
    <t>Number of 2B+</t>
  </si>
  <si>
    <t>Required No. Bikes</t>
  </si>
  <si>
    <t>Total Units</t>
  </si>
  <si>
    <t>Total Difference</t>
  </si>
  <si>
    <t>Sub-Total Difference</t>
  </si>
  <si>
    <t>Total (Sqft)</t>
  </si>
  <si>
    <t>212A</t>
  </si>
  <si>
    <t>Total Net Gross (sq.ft.):</t>
  </si>
  <si>
    <t>Total GIA &amp; Gross (sq.ft.):</t>
  </si>
  <si>
    <t>Area of External Staircase and Walkway Access</t>
  </si>
  <si>
    <t>Total Resi GIA (sq.m.):</t>
  </si>
  <si>
    <t>Grand Total Resi, Retail &amp; Consierge GIA (sq.m):</t>
  </si>
  <si>
    <t>Grand Total Resi, Retail &amp; Consierge GIA (sq.ft.):</t>
  </si>
  <si>
    <t>Total Concierge/Gym Facility (sq.m):</t>
  </si>
  <si>
    <t>Artist's Mews</t>
  </si>
  <si>
    <t>Plenty's Place &amp; Smith's Yard</t>
  </si>
  <si>
    <t xml:space="preserve">Plenty's Place </t>
  </si>
  <si>
    <t>Ashton Thicket &amp; Ashton Court</t>
  </si>
  <si>
    <t>Edward House &amp; Victoria Court</t>
  </si>
  <si>
    <t>Ashton Court &amp; Ashton Thicket</t>
  </si>
  <si>
    <t>Location:</t>
  </si>
  <si>
    <t>Tenure:</t>
  </si>
  <si>
    <t>Flats</t>
  </si>
  <si>
    <t>https://www.westberks.gov.uk/media/38132/Chapter-9-Development-Management-Policies-Parking-Policy/pdf/Development_Management_Policies_-_Parking_Policy.pdf?m=636662941574200000</t>
  </si>
  <si>
    <t>Homes</t>
  </si>
  <si>
    <t>3B+</t>
  </si>
  <si>
    <t>Vistors (1 per 5 Flats)</t>
  </si>
  <si>
    <t>Standard Per Unit (Zone 1)</t>
  </si>
  <si>
    <t>Required Parking Spaces</t>
  </si>
  <si>
    <t>No of Beds.</t>
  </si>
  <si>
    <t>No. Units</t>
  </si>
  <si>
    <t>Required Sub-total (Exc. Vistors)</t>
  </si>
  <si>
    <t>Total Required No. Parking Spaces Required (Inc. Vistors)</t>
  </si>
  <si>
    <t xml:space="preserve"> Car Parking Compliance</t>
  </si>
  <si>
    <t>Car Parking (Exc. Garages)</t>
  </si>
  <si>
    <t>Semi-basement</t>
  </si>
  <si>
    <t>Ground Floor</t>
  </si>
  <si>
    <t>First Floor</t>
  </si>
  <si>
    <t>Second Floor</t>
  </si>
  <si>
    <t>Third Floor</t>
  </si>
  <si>
    <t>Fourth Floor</t>
  </si>
  <si>
    <t>Fifth Floor</t>
  </si>
  <si>
    <t>Sixth Floor</t>
  </si>
  <si>
    <t>Primary Semi-private Amenity Space</t>
  </si>
  <si>
    <t>Private Garden/Courtyard</t>
  </si>
  <si>
    <t>Community Garden</t>
  </si>
  <si>
    <t>Enclosed Frontage Amenity Spill-out Space</t>
  </si>
  <si>
    <t>Public Amenity Value</t>
  </si>
  <si>
    <t>Public Frontage Amenity</t>
  </si>
  <si>
    <t>Mews Main Route</t>
  </si>
  <si>
    <t>Private Balcony</t>
  </si>
  <si>
    <t>Shared Walkway Balcony</t>
  </si>
  <si>
    <t>Community Hub Roof Garden</t>
  </si>
  <si>
    <t>Amenity Area By Floor (sqm)</t>
  </si>
  <si>
    <t>Total Sqm</t>
  </si>
  <si>
    <t>Private Front Garden</t>
  </si>
  <si>
    <t>Private Rear Garden</t>
  </si>
  <si>
    <t>All Retail &amp; Conceirge to White Box Standard &amp; includes Aircon.</t>
  </si>
  <si>
    <t>Concierge, Kitchenette, Parcel Room, Meeting Room, Gym</t>
  </si>
  <si>
    <t>Study.</t>
  </si>
  <si>
    <t>Single Storey</t>
  </si>
  <si>
    <t>Storey's.</t>
  </si>
  <si>
    <t>Two Storey's</t>
  </si>
  <si>
    <t>Three Storey's</t>
  </si>
  <si>
    <t>Four Storey's</t>
  </si>
  <si>
    <t>Number of Storey's</t>
  </si>
  <si>
    <t>Storey Height Summary</t>
  </si>
  <si>
    <t>Gross</t>
  </si>
  <si>
    <t>Net</t>
  </si>
  <si>
    <t>Unit Type:</t>
  </si>
  <si>
    <t>Coach House.</t>
  </si>
  <si>
    <t>Shared Roof Terrace</t>
  </si>
  <si>
    <t>Definition of a House (Old town Scheme)</t>
  </si>
  <si>
    <t>Definition of a Coach House (Old town Scheme)</t>
  </si>
  <si>
    <t>Dwelling with built form over a drive through.</t>
  </si>
  <si>
    <t>Dwelling with atleast a W.C on the ground floor,</t>
  </si>
  <si>
    <t>Dwelling with a private access on the ground floor,</t>
  </si>
  <si>
    <t>Dwelling with a private access on any floor,</t>
  </si>
  <si>
    <t>Definition of a Duplex Maisonette (Old town Scheme)</t>
  </si>
  <si>
    <t>Single storey dwelling.</t>
  </si>
  <si>
    <t>Definition of a Maisonette (Old town Scheme)</t>
  </si>
  <si>
    <t>Multi storey dwelling.</t>
  </si>
  <si>
    <t>Definition of a Flat (Old town Scheme)</t>
  </si>
  <si>
    <t>Dwelling with a Communal access on any floor,</t>
  </si>
  <si>
    <t>Dwelling with another dwelling or retail unit above or below it,</t>
  </si>
  <si>
    <t>Dwelling with no other dwelling or retail unit above or below it,</t>
  </si>
  <si>
    <t>Dwelling with no other dwelling or retail unit above or below it.</t>
  </si>
  <si>
    <t>Definition of a Duplex Flat (Old town Scheme)</t>
  </si>
  <si>
    <t>CH</t>
  </si>
  <si>
    <t>Approved Scheme'</t>
  </si>
  <si>
    <t>Proposed Scheme</t>
  </si>
  <si>
    <t>Units</t>
  </si>
  <si>
    <t>Bed Spaces</t>
  </si>
  <si>
    <t>3% Difference</t>
  </si>
  <si>
    <t>26% less</t>
  </si>
  <si>
    <t>Public Mother and Child Parking Spaces</t>
  </si>
  <si>
    <t>Public Parking Spaces</t>
  </si>
  <si>
    <t>Private Parking Spaces</t>
  </si>
  <si>
    <t>Public Disabled Parking Spaces</t>
  </si>
  <si>
    <t>Public EV Charging Spaces</t>
  </si>
  <si>
    <t>GF</t>
  </si>
  <si>
    <t>FF</t>
  </si>
  <si>
    <t>SF</t>
  </si>
  <si>
    <t>TF</t>
  </si>
  <si>
    <t>All Retail to White Box Standard &amp; includes Aircon.</t>
  </si>
  <si>
    <t xml:space="preserve"> Unit V1 - Vacant</t>
  </si>
  <si>
    <t xml:space="preserve"> Unit V2 - Vacant</t>
  </si>
  <si>
    <t xml:space="preserve"> Unit V3 - Nando's</t>
  </si>
  <si>
    <t xml:space="preserve"> Unit V4 - Kung Fu</t>
  </si>
  <si>
    <t>Vue Cinema - Approximate</t>
  </si>
  <si>
    <t>Side Amenity</t>
  </si>
  <si>
    <t>Shared Amenity</t>
  </si>
  <si>
    <t>Total Sqft</t>
  </si>
  <si>
    <t>Amenity Area By Floor (sqft)</t>
  </si>
  <si>
    <t>*-</t>
  </si>
  <si>
    <t>Vue Cinema</t>
  </si>
  <si>
    <t>Secondary Semi-private Amenity</t>
  </si>
  <si>
    <t>Building/ Area</t>
  </si>
  <si>
    <t>GIA - PROPOSED</t>
  </si>
  <si>
    <t>GIA - EXISTING</t>
  </si>
  <si>
    <t xml:space="preserve">Concierge </t>
  </si>
  <si>
    <t>Stair Cores and Communal Areas</t>
  </si>
  <si>
    <t xml:space="preserve">Bin Stores </t>
  </si>
  <si>
    <t>Cinema</t>
  </si>
  <si>
    <t>Restaurant</t>
  </si>
  <si>
    <t>Total Residential</t>
  </si>
  <si>
    <t>Cinema - WORKS TO EXISTING</t>
  </si>
  <si>
    <t>Cinema -  EXISTING</t>
  </si>
  <si>
    <t xml:space="preserve">Total proposed retail </t>
  </si>
  <si>
    <t>Communal Corridors</t>
  </si>
  <si>
    <t>Plant Rooms</t>
  </si>
  <si>
    <t>Service Route</t>
  </si>
  <si>
    <t>Stores</t>
  </si>
  <si>
    <t xml:space="preserve">Ground Floor </t>
  </si>
  <si>
    <t>Level 1</t>
  </si>
  <si>
    <t>Level 2</t>
  </si>
  <si>
    <t>Restaurant -  EXISTING</t>
  </si>
  <si>
    <t>Restaurant - WORKS TO EXISTING</t>
  </si>
  <si>
    <t>sq.ft</t>
  </si>
  <si>
    <t>sq.m</t>
  </si>
  <si>
    <t>Existing GIA</t>
  </si>
  <si>
    <t>Proposed GIA</t>
  </si>
  <si>
    <t>Multi Storey Car Park</t>
  </si>
  <si>
    <t xml:space="preserve">First Floor </t>
  </si>
  <si>
    <t xml:space="preserve">Third Floor </t>
  </si>
  <si>
    <t>Ground Floor Vue Cinema Works To Existing (Breakdown)</t>
  </si>
  <si>
    <t>Vue Cinema Complete Area</t>
  </si>
  <si>
    <t>1B Studio</t>
  </si>
  <si>
    <t>M</t>
  </si>
  <si>
    <t>Total Residential (Inc. Ancillaries)</t>
  </si>
  <si>
    <t>(ii)</t>
  </si>
  <si>
    <t>(iii)</t>
  </si>
  <si>
    <t>(iv)</t>
  </si>
  <si>
    <t>Total Non Residential</t>
  </si>
  <si>
    <t>Exisiting Commercial</t>
  </si>
  <si>
    <t>Non-resi</t>
  </si>
  <si>
    <t>Total non resi</t>
  </si>
  <si>
    <t>Gross Internal Area to be Retained</t>
  </si>
  <si>
    <t>Gross internal area to be demolished</t>
  </si>
  <si>
    <t>Site GIA</t>
  </si>
  <si>
    <t>Grand Total</t>
  </si>
  <si>
    <t>V1</t>
  </si>
  <si>
    <t>V2</t>
  </si>
  <si>
    <t xml:space="preserve">Exisiting </t>
  </si>
  <si>
    <t>Proposed</t>
  </si>
  <si>
    <t>Sq.ft</t>
  </si>
  <si>
    <t>Sq.m</t>
  </si>
  <si>
    <t>Total Length (m):</t>
  </si>
  <si>
    <t>Plentys Place</t>
  </si>
  <si>
    <t>Smiths Yard</t>
  </si>
  <si>
    <t>0.6m High R1</t>
  </si>
  <si>
    <t>1.1m High R1</t>
  </si>
  <si>
    <t>0.6m High R2</t>
  </si>
  <si>
    <t>1.1m High R2</t>
  </si>
  <si>
    <t>0.6m High R3</t>
  </si>
  <si>
    <t>1.1m High R3</t>
  </si>
  <si>
    <t>0.6m High R4</t>
  </si>
  <si>
    <t>1.1m High R4</t>
  </si>
  <si>
    <t>0.6m High R5</t>
  </si>
  <si>
    <t>1.1m High R5</t>
  </si>
  <si>
    <t>0.6m High R6</t>
  </si>
  <si>
    <t>1.1m High R6</t>
  </si>
  <si>
    <t>0.6m High R7</t>
  </si>
  <si>
    <t>1.1m High R7</t>
  </si>
  <si>
    <t>0.6m High R8</t>
  </si>
  <si>
    <t>1.1m High R8</t>
  </si>
  <si>
    <t>0.6m High R9</t>
  </si>
  <si>
    <t>1.1m High R9</t>
  </si>
  <si>
    <t>Total:</t>
  </si>
  <si>
    <t>Railing Schedule: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</si>
  <si>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</si>
  <si>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</si>
  <si>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</si>
  <si>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</si>
  <si>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</si>
  <si>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</si>
  <si>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</si>
  <si>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</si>
  <si>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</si>
  <si>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</si>
  <si>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</si>
  <si>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Lantern Design 1</t>
  </si>
  <si>
    <t>Lantern Design 2</t>
  </si>
  <si>
    <t>Lantern Design 3</t>
  </si>
  <si>
    <t>Lantern Design 4</t>
  </si>
  <si>
    <t>Lantern Design 5</t>
  </si>
  <si>
    <t>Ornamental S Ironwork</t>
  </si>
  <si>
    <t>Alma Court, Ashton Ticket &amp; Ashton Court</t>
  </si>
  <si>
    <t>Victoria Court &amp; Edward House</t>
  </si>
  <si>
    <t>Locked Gate</t>
  </si>
  <si>
    <t>Locked Park Court Gate</t>
  </si>
  <si>
    <t>Ironmongery Schedule: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</si>
</sst>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b/>
      <u/>
      <sz val="14"/>
      <color theme="1"/>
      <name val="Trebuchet MS"/>
      <family val="2"/>
    </font>
    <font>
      <b/>
      <sz val="9"/>
      <color theme="1"/>
      <name val="Trebuchet MS"/>
      <family val="2"/>
    </font>
    <font>
      <sz val="11"/>
      <color theme="1"/>
      <name val="Trebuchet MS"/>
      <family val="2"/>
    </font>
    <font>
      <sz val="11"/>
      <color rgb="FFFF0000"/>
      <name val="Trebuchet MS"/>
      <family val="2"/>
    </font>
    <font>
      <sz val="8"/>
      <name val="Calibri"/>
      <family val="2"/>
      <scheme val="minor"/>
    </font>
    <font>
      <sz val="9"/>
      <name val="Trebuchet MS"/>
      <family val="2"/>
    </font>
    <font>
      <sz val="9"/>
      <color rgb="FFFF0000"/>
      <name val="Trebuchet MS"/>
      <family val="2"/>
    </font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u/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9"/>
      <color theme="0" tint="-0.499984740745262"/>
      <name val="Trebuchet MS"/>
      <family val="2"/>
    </font>
    <font>
      <b/>
      <sz val="9"/>
      <color rgb="FFFF0000"/>
      <name val="Trebuchet MS"/>
      <family val="2"/>
    </font>
    <font>
      <sz val="11"/>
      <name val="Ubuntu Mono"/>
      <family val="3"/>
    </font>
    <font>
      <sz val="11"/>
      <color rgb="FFFF0000"/>
      <name val="Calibri"/>
      <family val="2"/>
      <scheme val="minor"/>
    </font>
    <font>
      <sz val="9"/>
      <color rgb="FF0070C0"/>
      <name val="Trebuchet MS"/>
      <family val="2"/>
    </font>
    <font>
      <b/>
      <sz val="11"/>
      <color theme="1"/>
      <name val="Trebuchet MS"/>
      <family val="2"/>
    </font>
    <font>
      <sz val="8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5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theme="0" tint="-0.34998626667073579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ed">
        <color theme="0" tint="-0.34998626667073579"/>
      </bottom>
      <diagonal/>
    </border>
    <border>
      <left style="hair">
        <color indexed="64"/>
      </left>
      <right style="medium">
        <color indexed="64"/>
      </right>
      <top style="dashed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1" fillId="0" borderId="0" applyFont="0" applyFill="0" applyBorder="0" applyAlignment="0" applyProtection="0"/>
  </cellStyleXfs>
  <cellXfs count="991">
    <xf numFmtId="0" fontId="0" fillId="0" borderId="0" xfId="0"/>
    <xf numFmtId="0" fontId="3" fillId="3" borderId="26" xfId="1" applyFont="1" applyFill="1" applyBorder="1" applyAlignment="1">
      <alignment horizontal="center" vertical="center" wrapText="1"/>
    </xf>
    <xf numFmtId="0" fontId="6" fillId="0" borderId="0" xfId="0" applyFont="1"/>
    <xf numFmtId="0" fontId="2" fillId="3" borderId="29" xfId="1" applyFill="1" applyBorder="1" applyAlignment="1">
      <alignment horizontal="center" vertical="center"/>
    </xf>
    <xf numFmtId="0" fontId="2" fillId="3" borderId="27" xfId="1" applyFill="1" applyBorder="1" applyAlignment="1">
      <alignment horizontal="center" vertical="center"/>
    </xf>
    <xf numFmtId="0" fontId="2" fillId="3" borderId="30" xfId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2" borderId="8" xfId="1" applyFill="1" applyBorder="1" applyAlignment="1">
      <alignment horizontal="center" vertical="center" wrapText="1"/>
    </xf>
    <xf numFmtId="3" fontId="2" fillId="2" borderId="10" xfId="1" applyNumberFormat="1" applyFill="1" applyBorder="1" applyAlignment="1">
      <alignment horizontal="center" vertical="center"/>
    </xf>
    <xf numFmtId="9" fontId="2" fillId="0" borderId="22" xfId="1" applyNumberFormat="1" applyBorder="1" applyAlignment="1">
      <alignment horizontal="center" vertical="center"/>
    </xf>
    <xf numFmtId="9" fontId="2" fillId="0" borderId="17" xfId="1" applyNumberFormat="1" applyBorder="1" applyAlignment="1">
      <alignment horizontal="center" vertical="center"/>
    </xf>
    <xf numFmtId="9" fontId="2" fillId="0" borderId="23" xfId="1" applyNumberFormat="1" applyBorder="1" applyAlignment="1">
      <alignment horizontal="center" vertical="center"/>
    </xf>
    <xf numFmtId="0" fontId="2" fillId="2" borderId="18" xfId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2" fillId="2" borderId="35" xfId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6" fillId="2" borderId="36" xfId="0" applyFont="1" applyFill="1" applyBorder="1"/>
    <xf numFmtId="0" fontId="3" fillId="4" borderId="1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vertical="center" wrapText="1"/>
    </xf>
    <xf numFmtId="0" fontId="3" fillId="4" borderId="1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3" borderId="45" xfId="1" applyFont="1" applyFill="1" applyBorder="1" applyAlignment="1">
      <alignment horizontal="center" vertical="center"/>
    </xf>
    <xf numFmtId="0" fontId="6" fillId="2" borderId="32" xfId="0" applyFont="1" applyFill="1" applyBorder="1"/>
    <xf numFmtId="0" fontId="9" fillId="0" borderId="7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2" fillId="0" borderId="0" xfId="0" applyFont="1"/>
    <xf numFmtId="0" fontId="2" fillId="3" borderId="0" xfId="0" applyFont="1" applyFill="1"/>
    <xf numFmtId="0" fontId="6" fillId="3" borderId="0" xfId="0" applyFont="1" applyFill="1"/>
    <xf numFmtId="0" fontId="9" fillId="0" borderId="46" xfId="0" applyFont="1" applyBorder="1" applyAlignment="1">
      <alignment horizontal="center"/>
    </xf>
    <xf numFmtId="164" fontId="9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164" fontId="6" fillId="0" borderId="0" xfId="0" applyNumberFormat="1" applyFont="1"/>
    <xf numFmtId="0" fontId="3" fillId="3" borderId="57" xfId="1" applyFont="1" applyFill="1" applyBorder="1" applyAlignment="1">
      <alignment horizontal="center" vertical="center"/>
    </xf>
    <xf numFmtId="0" fontId="3" fillId="3" borderId="58" xfId="1" applyFont="1" applyFill="1" applyBorder="1" applyAlignment="1">
      <alignment horizontal="center" vertical="center"/>
    </xf>
    <xf numFmtId="0" fontId="3" fillId="3" borderId="56" xfId="1" applyFont="1" applyFill="1" applyBorder="1" applyAlignment="1">
      <alignment horizontal="center" vertical="center" wrapText="1"/>
    </xf>
    <xf numFmtId="0" fontId="2" fillId="3" borderId="59" xfId="1" applyFill="1" applyBorder="1" applyAlignment="1">
      <alignment horizontal="center" vertical="center"/>
    </xf>
    <xf numFmtId="0" fontId="2" fillId="3" borderId="60" xfId="1" applyFill="1" applyBorder="1" applyAlignment="1">
      <alignment horizontal="center" vertical="center"/>
    </xf>
    <xf numFmtId="0" fontId="2" fillId="3" borderId="61" xfId="1" applyFill="1" applyBorder="1" applyAlignment="1">
      <alignment horizontal="center" vertical="center"/>
    </xf>
    <xf numFmtId="0" fontId="3" fillId="3" borderId="62" xfId="1" applyFont="1" applyFill="1" applyBorder="1" applyAlignment="1">
      <alignment horizontal="center" vertical="center"/>
    </xf>
    <xf numFmtId="0" fontId="2" fillId="0" borderId="53" xfId="0" applyFont="1" applyBorder="1"/>
    <xf numFmtId="0" fontId="2" fillId="0" borderId="63" xfId="0" applyFont="1" applyBorder="1"/>
    <xf numFmtId="0" fontId="3" fillId="3" borderId="64" xfId="1" applyFont="1" applyFill="1" applyBorder="1" applyAlignment="1">
      <alignment horizontal="center" vertical="center"/>
    </xf>
    <xf numFmtId="0" fontId="2" fillId="3" borderId="58" xfId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164" fontId="2" fillId="0" borderId="73" xfId="0" applyNumberFormat="1" applyFont="1" applyBorder="1" applyAlignment="1">
      <alignment horizontal="center"/>
    </xf>
    <xf numFmtId="164" fontId="2" fillId="0" borderId="42" xfId="0" applyNumberFormat="1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164" fontId="2" fillId="0" borderId="43" xfId="0" applyNumberFormat="1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3" fontId="2" fillId="2" borderId="32" xfId="1" applyNumberForma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164" fontId="2" fillId="2" borderId="32" xfId="0" applyNumberFormat="1" applyFont="1" applyFill="1" applyBorder="1" applyAlignment="1">
      <alignment horizontal="center" vertical="center"/>
    </xf>
    <xf numFmtId="0" fontId="2" fillId="2" borderId="35" xfId="1" applyFill="1" applyBorder="1" applyAlignment="1">
      <alignment horizontal="center" vertical="center"/>
    </xf>
    <xf numFmtId="0" fontId="2" fillId="2" borderId="32" xfId="1" applyFill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2" borderId="33" xfId="1" applyFill="1" applyBorder="1" applyAlignment="1">
      <alignment horizontal="center" vertical="center" wrapText="1"/>
    </xf>
    <xf numFmtId="9" fontId="2" fillId="0" borderId="67" xfId="1" applyNumberFormat="1" applyBorder="1" applyAlignment="1">
      <alignment horizontal="center" vertical="center"/>
    </xf>
    <xf numFmtId="9" fontId="2" fillId="0" borderId="70" xfId="1" applyNumberFormat="1" applyBorder="1" applyAlignment="1">
      <alignment horizontal="center" vertical="center"/>
    </xf>
    <xf numFmtId="9" fontId="2" fillId="0" borderId="80" xfId="1" applyNumberFormat="1" applyBorder="1" applyAlignment="1">
      <alignment horizontal="center" vertical="center"/>
    </xf>
    <xf numFmtId="0" fontId="3" fillId="3" borderId="81" xfId="1" applyFont="1" applyFill="1" applyBorder="1" applyAlignment="1">
      <alignment horizontal="center" vertical="center"/>
    </xf>
    <xf numFmtId="0" fontId="3" fillId="3" borderId="8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2" fillId="3" borderId="76" xfId="1" applyFill="1" applyBorder="1" applyAlignment="1">
      <alignment horizontal="center" vertical="center"/>
    </xf>
    <xf numFmtId="0" fontId="2" fillId="3" borderId="89" xfId="1" applyFill="1" applyBorder="1" applyAlignment="1">
      <alignment horizontal="center" vertical="center"/>
    </xf>
    <xf numFmtId="0" fontId="2" fillId="3" borderId="90" xfId="1" applyFill="1" applyBorder="1" applyAlignment="1">
      <alignment horizontal="center" vertical="center"/>
    </xf>
    <xf numFmtId="0" fontId="2" fillId="3" borderId="88" xfId="1" applyFill="1" applyBorder="1" applyAlignment="1">
      <alignment horizontal="center" vertical="center"/>
    </xf>
    <xf numFmtId="0" fontId="3" fillId="3" borderId="81" xfId="1" applyFont="1" applyFill="1" applyBorder="1" applyAlignment="1">
      <alignment horizontal="center" vertical="center" wrapText="1"/>
    </xf>
    <xf numFmtId="0" fontId="3" fillId="3" borderId="94" xfId="1" applyFont="1" applyFill="1" applyBorder="1" applyAlignment="1">
      <alignment horizontal="center" vertical="center" wrapText="1"/>
    </xf>
    <xf numFmtId="0" fontId="3" fillId="3" borderId="93" xfId="1" applyFont="1" applyFill="1" applyBorder="1" applyAlignment="1">
      <alignment horizontal="center" vertical="center"/>
    </xf>
    <xf numFmtId="0" fontId="3" fillId="3" borderId="94" xfId="1" applyFont="1" applyFill="1" applyBorder="1" applyAlignment="1">
      <alignment horizontal="center" vertical="center"/>
    </xf>
    <xf numFmtId="0" fontId="3" fillId="3" borderId="97" xfId="1" applyFont="1" applyFill="1" applyBorder="1" applyAlignment="1">
      <alignment horizontal="center" vertical="center"/>
    </xf>
    <xf numFmtId="0" fontId="2" fillId="0" borderId="96" xfId="0" applyFont="1" applyBorder="1" applyAlignment="1">
      <alignment horizontal="center"/>
    </xf>
    <xf numFmtId="0" fontId="2" fillId="0" borderId="83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164" fontId="2" fillId="0" borderId="98" xfId="0" applyNumberFormat="1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164" fontId="2" fillId="0" borderId="10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2" fillId="0" borderId="91" xfId="0" applyNumberFormat="1" applyFont="1" applyBorder="1" applyAlignment="1">
      <alignment horizontal="center" vertical="center"/>
    </xf>
    <xf numFmtId="164" fontId="2" fillId="0" borderId="92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10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2" borderId="103" xfId="1" applyFill="1" applyBorder="1" applyAlignment="1">
      <alignment horizontal="center" vertical="center"/>
    </xf>
    <xf numFmtId="3" fontId="2" fillId="2" borderId="104" xfId="1" applyNumberFormat="1" applyFill="1" applyBorder="1" applyAlignment="1">
      <alignment horizontal="center" vertical="center"/>
    </xf>
    <xf numFmtId="0" fontId="2" fillId="2" borderId="77" xfId="1" applyFill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64" fontId="2" fillId="0" borderId="4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55" xfId="0" applyNumberFormat="1" applyFont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2" borderId="33" xfId="1" applyFill="1" applyBorder="1" applyAlignment="1">
      <alignment horizontal="center" vertical="center"/>
    </xf>
    <xf numFmtId="164" fontId="2" fillId="3" borderId="106" xfId="0" applyNumberFormat="1" applyFont="1" applyFill="1" applyBorder="1" applyAlignment="1">
      <alignment horizontal="center" vertical="center"/>
    </xf>
    <xf numFmtId="0" fontId="2" fillId="3" borderId="106" xfId="0" applyFont="1" applyFill="1" applyBorder="1" applyAlignment="1">
      <alignment vertical="center"/>
    </xf>
    <xf numFmtId="0" fontId="3" fillId="3" borderId="107" xfId="1" applyFont="1" applyFill="1" applyBorder="1" applyAlignment="1">
      <alignment horizontal="center" vertical="center"/>
    </xf>
    <xf numFmtId="0" fontId="3" fillId="3" borderId="108" xfId="1" applyFont="1" applyFill="1" applyBorder="1" applyAlignment="1">
      <alignment horizontal="center" vertical="center"/>
    </xf>
    <xf numFmtId="0" fontId="3" fillId="3" borderId="109" xfId="1" applyFont="1" applyFill="1" applyBorder="1" applyAlignment="1">
      <alignment horizontal="center" vertical="center"/>
    </xf>
    <xf numFmtId="0" fontId="3" fillId="3" borderId="110" xfId="1" applyFont="1" applyFill="1" applyBorder="1" applyAlignment="1">
      <alignment horizontal="center" vertical="center"/>
    </xf>
    <xf numFmtId="0" fontId="3" fillId="3" borderId="110" xfId="1" applyFont="1" applyFill="1" applyBorder="1" applyAlignment="1">
      <alignment horizontal="center" vertical="center" wrapText="1"/>
    </xf>
    <xf numFmtId="0" fontId="3" fillId="3" borderId="108" xfId="1" applyFont="1" applyFill="1" applyBorder="1" applyAlignment="1">
      <alignment horizontal="center" vertical="center" wrapText="1"/>
    </xf>
    <xf numFmtId="0" fontId="3" fillId="3" borderId="111" xfId="1" applyFont="1" applyFill="1" applyBorder="1" applyAlignment="1">
      <alignment horizontal="center" vertical="center" wrapText="1"/>
    </xf>
    <xf numFmtId="0" fontId="2" fillId="3" borderId="112" xfId="1" applyFill="1" applyBorder="1" applyAlignment="1">
      <alignment horizontal="center" vertical="center"/>
    </xf>
    <xf numFmtId="0" fontId="2" fillId="3" borderId="113" xfId="1" applyFill="1" applyBorder="1" applyAlignment="1">
      <alignment horizontal="center" vertical="center"/>
    </xf>
    <xf numFmtId="0" fontId="2" fillId="3" borderId="114" xfId="1" applyFill="1" applyBorder="1" applyAlignment="1">
      <alignment horizontal="center" vertical="center"/>
    </xf>
    <xf numFmtId="0" fontId="2" fillId="3" borderId="115" xfId="1" applyFill="1" applyBorder="1" applyAlignment="1">
      <alignment horizontal="center" vertical="center"/>
    </xf>
    <xf numFmtId="0" fontId="2" fillId="3" borderId="116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0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164" fontId="2" fillId="0" borderId="44" xfId="0" applyNumberFormat="1" applyFont="1" applyBorder="1" applyAlignment="1">
      <alignment horizontal="center"/>
    </xf>
    <xf numFmtId="0" fontId="2" fillId="0" borderId="105" xfId="0" applyFont="1" applyBorder="1" applyAlignment="1">
      <alignment horizontal="center"/>
    </xf>
    <xf numFmtId="0" fontId="2" fillId="0" borderId="10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91" xfId="0" applyFont="1" applyBorder="1" applyAlignment="1">
      <alignment horizontal="center"/>
    </xf>
    <xf numFmtId="0" fontId="2" fillId="0" borderId="92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0" borderId="95" xfId="0" applyFont="1" applyBorder="1" applyAlignment="1">
      <alignment horizontal="center"/>
    </xf>
    <xf numFmtId="0" fontId="2" fillId="0" borderId="117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3" borderId="116" xfId="0" applyFont="1" applyFill="1" applyBorder="1" applyAlignment="1">
      <alignment horizontal="center" vertical="center"/>
    </xf>
    <xf numFmtId="0" fontId="2" fillId="3" borderId="106" xfId="0" applyFont="1" applyFill="1" applyBorder="1" applyAlignment="1">
      <alignment horizontal="center" vertical="center"/>
    </xf>
    <xf numFmtId="0" fontId="2" fillId="0" borderId="84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3" fillId="3" borderId="120" xfId="1" applyFont="1" applyFill="1" applyBorder="1" applyAlignment="1">
      <alignment horizontal="center" vertical="center"/>
    </xf>
    <xf numFmtId="0" fontId="2" fillId="3" borderId="1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2" fillId="2" borderId="121" xfId="0" applyNumberFormat="1" applyFont="1" applyFill="1" applyBorder="1" applyAlignment="1">
      <alignment horizontal="center" vertical="center"/>
    </xf>
    <xf numFmtId="0" fontId="3" fillId="3" borderId="122" xfId="1" applyFont="1" applyFill="1" applyBorder="1" applyAlignment="1">
      <alignment horizontal="center" vertical="center"/>
    </xf>
    <xf numFmtId="0" fontId="3" fillId="3" borderId="123" xfId="1" applyFont="1" applyFill="1" applyBorder="1" applyAlignment="1">
      <alignment horizontal="center" vertical="center"/>
    </xf>
    <xf numFmtId="0" fontId="3" fillId="3" borderId="124" xfId="1" applyFont="1" applyFill="1" applyBorder="1" applyAlignment="1">
      <alignment horizontal="center" vertical="center"/>
    </xf>
    <xf numFmtId="0" fontId="3" fillId="3" borderId="124" xfId="1" applyFont="1" applyFill="1" applyBorder="1" applyAlignment="1">
      <alignment horizontal="center" vertical="center" wrapText="1"/>
    </xf>
    <xf numFmtId="0" fontId="3" fillId="3" borderId="45" xfId="1" applyFont="1" applyFill="1" applyBorder="1" applyAlignment="1">
      <alignment horizontal="center" vertical="center" wrapText="1"/>
    </xf>
    <xf numFmtId="0" fontId="2" fillId="3" borderId="28" xfId="1" applyFill="1" applyBorder="1" applyAlignment="1">
      <alignment horizontal="center" vertical="center"/>
    </xf>
    <xf numFmtId="0" fontId="2" fillId="3" borderId="125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 wrapText="1"/>
    </xf>
    <xf numFmtId="0" fontId="2" fillId="0" borderId="135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/>
    </xf>
    <xf numFmtId="0" fontId="2" fillId="3" borderId="136" xfId="0" applyFont="1" applyFill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3" fillId="3" borderId="137" xfId="1" applyFont="1" applyFill="1" applyBorder="1" applyAlignment="1">
      <alignment horizontal="center" vertical="center" wrapText="1"/>
    </xf>
    <xf numFmtId="0" fontId="2" fillId="0" borderId="138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/>
    </xf>
    <xf numFmtId="0" fontId="6" fillId="0" borderId="145" xfId="0" applyFont="1" applyBorder="1" applyAlignment="1">
      <alignment horizontal="center"/>
    </xf>
    <xf numFmtId="0" fontId="6" fillId="0" borderId="139" xfId="0" applyFont="1" applyBorder="1" applyAlignment="1">
      <alignment horizontal="center"/>
    </xf>
    <xf numFmtId="0" fontId="2" fillId="0" borderId="140" xfId="0" applyFont="1" applyBorder="1" applyAlignment="1">
      <alignment horizontal="center"/>
    </xf>
    <xf numFmtId="0" fontId="2" fillId="0" borderId="14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/>
    </xf>
    <xf numFmtId="164" fontId="14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147" xfId="0" applyFont="1" applyBorder="1"/>
    <xf numFmtId="0" fontId="2" fillId="0" borderId="148" xfId="0" applyFont="1" applyBorder="1"/>
    <xf numFmtId="164" fontId="15" fillId="0" borderId="149" xfId="0" applyNumberFormat="1" applyFont="1" applyBorder="1" applyAlignment="1">
      <alignment horizontal="center"/>
    </xf>
    <xf numFmtId="0" fontId="2" fillId="0" borderId="149" xfId="0" applyFont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0" fontId="15" fillId="0" borderId="31" xfId="0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15" fillId="0" borderId="151" xfId="0" applyNumberFormat="1" applyFont="1" applyBorder="1" applyAlignment="1">
      <alignment horizontal="center"/>
    </xf>
    <xf numFmtId="0" fontId="5" fillId="0" borderId="152" xfId="0" applyFont="1" applyBorder="1"/>
    <xf numFmtId="0" fontId="15" fillId="0" borderId="152" xfId="0" applyFont="1" applyBorder="1"/>
    <xf numFmtId="0" fontId="2" fillId="0" borderId="152" xfId="0" applyFont="1" applyBorder="1"/>
    <xf numFmtId="0" fontId="15" fillId="0" borderId="153" xfId="0" applyFont="1" applyBorder="1"/>
    <xf numFmtId="0" fontId="2" fillId="0" borderId="15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 wrapText="1"/>
    </xf>
    <xf numFmtId="0" fontId="5" fillId="0" borderId="15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54" xfId="0" applyFont="1" applyBorder="1" applyAlignment="1">
      <alignment horizontal="center" vertical="center"/>
    </xf>
    <xf numFmtId="164" fontId="14" fillId="0" borderId="162" xfId="2" applyNumberFormat="1" applyFont="1" applyBorder="1" applyAlignment="1">
      <alignment horizontal="center" vertical="center"/>
    </xf>
    <xf numFmtId="164" fontId="15" fillId="0" borderId="162" xfId="0" applyNumberFormat="1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0" fontId="2" fillId="0" borderId="16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43" xfId="0" applyFont="1" applyBorder="1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169" xfId="0" applyFont="1" applyBorder="1" applyAlignment="1">
      <alignment horizontal="center" vertical="center"/>
    </xf>
    <xf numFmtId="0" fontId="2" fillId="0" borderId="170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0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horizontal="center" vertical="center"/>
    </xf>
    <xf numFmtId="3" fontId="6" fillId="0" borderId="0" xfId="0" applyNumberFormat="1" applyFont="1"/>
    <xf numFmtId="3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/>
    <xf numFmtId="0" fontId="2" fillId="0" borderId="108" xfId="0" applyFont="1" applyBorder="1"/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78" xfId="0" applyFont="1" applyBorder="1" applyAlignment="1">
      <alignment horizontal="center"/>
    </xf>
    <xf numFmtId="0" fontId="2" fillId="0" borderId="179" xfId="0" applyFont="1" applyBorder="1" applyAlignment="1">
      <alignment horizontal="center"/>
    </xf>
    <xf numFmtId="9" fontId="2" fillId="0" borderId="40" xfId="1" applyNumberFormat="1" applyBorder="1" applyAlignment="1">
      <alignment horizontal="center" vertical="center"/>
    </xf>
    <xf numFmtId="9" fontId="2" fillId="0" borderId="0" xfId="1" applyNumberFormat="1" applyAlignment="1">
      <alignment horizontal="center" vertical="center"/>
    </xf>
    <xf numFmtId="9" fontId="2" fillId="0" borderId="37" xfId="1" applyNumberFormat="1" applyBorder="1" applyAlignment="1">
      <alignment horizontal="center" vertical="center"/>
    </xf>
    <xf numFmtId="0" fontId="2" fillId="2" borderId="35" xfId="0" applyFont="1" applyFill="1" applyBorder="1" applyAlignment="1">
      <alignment horizontal="center"/>
    </xf>
    <xf numFmtId="0" fontId="2" fillId="0" borderId="18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3" xfId="0" applyFont="1" applyBorder="1" applyAlignment="1">
      <alignment horizontal="center" vertical="center"/>
    </xf>
    <xf numFmtId="0" fontId="2" fillId="0" borderId="184" xfId="0" applyFont="1" applyBorder="1" applyAlignment="1">
      <alignment horizontal="center"/>
    </xf>
    <xf numFmtId="0" fontId="2" fillId="0" borderId="189" xfId="0" applyFont="1" applyBorder="1" applyAlignment="1">
      <alignment horizontal="center"/>
    </xf>
    <xf numFmtId="164" fontId="2" fillId="0" borderId="19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186" xfId="0" applyNumberFormat="1" applyFont="1" applyBorder="1" applyAlignment="1">
      <alignment horizontal="center"/>
    </xf>
    <xf numFmtId="164" fontId="2" fillId="0" borderId="187" xfId="0" applyNumberFormat="1" applyFont="1" applyBorder="1" applyAlignment="1">
      <alignment horizontal="center"/>
    </xf>
    <xf numFmtId="0" fontId="10" fillId="0" borderId="12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70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 wrapText="1"/>
    </xf>
    <xf numFmtId="0" fontId="10" fillId="0" borderId="177" xfId="0" applyFont="1" applyBorder="1" applyAlignment="1">
      <alignment horizontal="center" vertical="center" wrapText="1"/>
    </xf>
    <xf numFmtId="0" fontId="10" fillId="0" borderId="17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/>
    </xf>
    <xf numFmtId="0" fontId="10" fillId="0" borderId="53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/>
    </xf>
    <xf numFmtId="0" fontId="9" fillId="0" borderId="108" xfId="0" applyFont="1" applyBorder="1" applyAlignment="1">
      <alignment horizontal="center" vertical="center"/>
    </xf>
    <xf numFmtId="0" fontId="16" fillId="0" borderId="17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108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43" xfId="0" applyFont="1" applyBorder="1" applyAlignment="1">
      <alignment horizontal="center"/>
    </xf>
    <xf numFmtId="0" fontId="9" fillId="0" borderId="14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68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145" xfId="0" applyFont="1" applyBorder="1" applyAlignment="1">
      <alignment horizontal="center"/>
    </xf>
    <xf numFmtId="0" fontId="9" fillId="0" borderId="142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2" borderId="35" xfId="1" applyFont="1" applyFill="1" applyBorder="1" applyAlignment="1">
      <alignment horizontal="center" vertical="center" wrapText="1"/>
    </xf>
    <xf numFmtId="0" fontId="1" fillId="0" borderId="132" xfId="1" applyFont="1" applyBorder="1" applyAlignment="1">
      <alignment horizontal="center" vertical="center" wrapText="1"/>
    </xf>
    <xf numFmtId="0" fontId="1" fillId="0" borderId="0" xfId="0" applyFont="1"/>
    <xf numFmtId="0" fontId="1" fillId="3" borderId="0" xfId="0" applyFont="1" applyFill="1"/>
    <xf numFmtId="0" fontId="1" fillId="0" borderId="53" xfId="0" applyFont="1" applyBorder="1"/>
    <xf numFmtId="0" fontId="12" fillId="0" borderId="0" xfId="0" applyFont="1"/>
    <xf numFmtId="0" fontId="17" fillId="0" borderId="46" xfId="0" applyFont="1" applyBorder="1"/>
    <xf numFmtId="0" fontId="3" fillId="3" borderId="169" xfId="1" applyFont="1" applyFill="1" applyBorder="1" applyAlignment="1">
      <alignment horizontal="center" vertical="center"/>
    </xf>
    <xf numFmtId="0" fontId="3" fillId="3" borderId="169" xfId="1" applyFont="1" applyFill="1" applyBorder="1" applyAlignment="1">
      <alignment horizontal="center" vertical="center" wrapText="1"/>
    </xf>
    <xf numFmtId="0" fontId="2" fillId="3" borderId="169" xfId="1" applyFill="1" applyBorder="1" applyAlignment="1">
      <alignment horizontal="center" vertical="center"/>
    </xf>
    <xf numFmtId="0" fontId="2" fillId="3" borderId="120" xfId="1" applyFill="1" applyBorder="1" applyAlignment="1">
      <alignment horizontal="center" vertical="center"/>
    </xf>
    <xf numFmtId="0" fontId="3" fillId="3" borderId="112" xfId="1" applyFont="1" applyFill="1" applyBorder="1" applyAlignment="1">
      <alignment horizontal="center" vertical="center"/>
    </xf>
    <xf numFmtId="0" fontId="3" fillId="3" borderId="175" xfId="1" applyFont="1" applyFill="1" applyBorder="1" applyAlignment="1">
      <alignment horizontal="center" vertical="center" wrapText="1"/>
    </xf>
    <xf numFmtId="0" fontId="2" fillId="0" borderId="195" xfId="1" applyBorder="1" applyAlignment="1">
      <alignment horizontal="center" vertical="center"/>
    </xf>
    <xf numFmtId="0" fontId="2" fillId="0" borderId="147" xfId="1" applyBorder="1" applyAlignment="1">
      <alignment horizontal="center" vertical="center"/>
    </xf>
    <xf numFmtId="0" fontId="2" fillId="0" borderId="198" xfId="1" applyBorder="1" applyAlignment="1">
      <alignment horizontal="center" vertical="center"/>
    </xf>
    <xf numFmtId="0" fontId="2" fillId="0" borderId="199" xfId="1" applyBorder="1" applyAlignment="1">
      <alignment horizontal="center" vertical="center"/>
    </xf>
    <xf numFmtId="0" fontId="10" fillId="0" borderId="199" xfId="1" applyFont="1" applyBorder="1" applyAlignment="1">
      <alignment horizontal="center" vertical="center"/>
    </xf>
    <xf numFmtId="0" fontId="2" fillId="0" borderId="200" xfId="1" applyBorder="1" applyAlignment="1">
      <alignment horizontal="center" vertical="center"/>
    </xf>
    <xf numFmtId="0" fontId="7" fillId="0" borderId="149" xfId="0" applyFont="1" applyBorder="1" applyAlignment="1">
      <alignment horizontal="center"/>
    </xf>
    <xf numFmtId="0" fontId="6" fillId="0" borderId="149" xfId="0" applyFont="1" applyBorder="1" applyAlignment="1">
      <alignment horizontal="center"/>
    </xf>
    <xf numFmtId="0" fontId="2" fillId="0" borderId="201" xfId="0" applyFont="1" applyBorder="1" applyAlignment="1">
      <alignment horizontal="center"/>
    </xf>
    <xf numFmtId="0" fontId="3" fillId="3" borderId="175" xfId="1" applyFont="1" applyFill="1" applyBorder="1" applyAlignment="1">
      <alignment horizontal="center" vertical="center"/>
    </xf>
    <xf numFmtId="0" fontId="1" fillId="0" borderId="120" xfId="0" applyFont="1" applyBorder="1"/>
    <xf numFmtId="0" fontId="1" fillId="0" borderId="120" xfId="0" applyFont="1" applyBorder="1" applyAlignment="1">
      <alignment horizontal="center" vertical="center" wrapText="1"/>
    </xf>
    <xf numFmtId="0" fontId="6" fillId="0" borderId="37" xfId="0" applyFont="1" applyBorder="1"/>
    <xf numFmtId="0" fontId="6" fillId="0" borderId="37" xfId="0" applyFont="1" applyBorder="1" applyAlignment="1">
      <alignment horizontal="center" vertical="center"/>
    </xf>
    <xf numFmtId="0" fontId="6" fillId="0" borderId="14" xfId="0" applyFont="1" applyBorder="1"/>
    <xf numFmtId="0" fontId="1" fillId="0" borderId="128" xfId="0" applyFont="1" applyBorder="1" applyAlignment="1">
      <alignment horizontal="center" wrapText="1"/>
    </xf>
    <xf numFmtId="1" fontId="5" fillId="0" borderId="115" xfId="0" applyNumberFormat="1" applyFont="1" applyBorder="1" applyAlignment="1">
      <alignment horizontal="center" vertical="center"/>
    </xf>
    <xf numFmtId="1" fontId="5" fillId="0" borderId="181" xfId="0" applyNumberFormat="1" applyFont="1" applyBorder="1" applyAlignment="1">
      <alignment horizontal="center" vertical="center"/>
    </xf>
    <xf numFmtId="0" fontId="1" fillId="0" borderId="208" xfId="0" applyFont="1" applyBorder="1" applyAlignment="1">
      <alignment horizontal="center" vertical="center" wrapText="1"/>
    </xf>
    <xf numFmtId="0" fontId="10" fillId="0" borderId="208" xfId="0" applyFont="1" applyBorder="1" applyAlignment="1">
      <alignment horizontal="center" vertical="center" wrapText="1"/>
    </xf>
    <xf numFmtId="0" fontId="1" fillId="0" borderId="120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7" xfId="0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/>
    </xf>
    <xf numFmtId="0" fontId="1" fillId="0" borderId="209" xfId="0" applyFont="1" applyBorder="1" applyAlignment="1">
      <alignment horizontal="center" vertical="center"/>
    </xf>
    <xf numFmtId="0" fontId="1" fillId="0" borderId="210" xfId="0" applyFont="1" applyBorder="1" applyAlignment="1">
      <alignment horizontal="center" vertical="center"/>
    </xf>
    <xf numFmtId="0" fontId="10" fillId="0" borderId="210" xfId="0" applyFont="1" applyBorder="1" applyAlignment="1">
      <alignment horizontal="center" vertical="center"/>
    </xf>
    <xf numFmtId="1" fontId="1" fillId="0" borderId="211" xfId="0" applyNumberFormat="1" applyFont="1" applyBorder="1" applyAlignment="1">
      <alignment horizontal="center" vertical="center"/>
    </xf>
    <xf numFmtId="0" fontId="1" fillId="0" borderId="212" xfId="0" applyFont="1" applyBorder="1" applyAlignment="1">
      <alignment horizontal="center" vertical="center"/>
    </xf>
    <xf numFmtId="0" fontId="1" fillId="0" borderId="213" xfId="0" applyFont="1" applyBorder="1" applyAlignment="1">
      <alignment horizontal="center" vertical="center"/>
    </xf>
    <xf numFmtId="0" fontId="10" fillId="0" borderId="213" xfId="0" applyFont="1" applyBorder="1" applyAlignment="1">
      <alignment horizontal="center" vertical="center"/>
    </xf>
    <xf numFmtId="0" fontId="1" fillId="0" borderId="214" xfId="0" applyFont="1" applyBorder="1" applyAlignment="1">
      <alignment horizontal="center" vertical="center"/>
    </xf>
    <xf numFmtId="0" fontId="1" fillId="0" borderId="215" xfId="0" applyFont="1" applyBorder="1" applyAlignment="1">
      <alignment horizontal="center" vertical="center"/>
    </xf>
    <xf numFmtId="0" fontId="1" fillId="0" borderId="216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/>
    </xf>
    <xf numFmtId="0" fontId="1" fillId="0" borderId="217" xfId="0" applyFont="1" applyBorder="1" applyAlignment="1">
      <alignment horizontal="center" vertical="center"/>
    </xf>
    <xf numFmtId="0" fontId="1" fillId="0" borderId="169" xfId="0" applyFont="1" applyBorder="1" applyAlignment="1">
      <alignment horizontal="center" vertical="center" wrapText="1"/>
    </xf>
    <xf numFmtId="0" fontId="5" fillId="0" borderId="120" xfId="0" applyFont="1" applyBorder="1" applyAlignment="1">
      <alignment horizontal="center" vertical="center" wrapText="1"/>
    </xf>
    <xf numFmtId="0" fontId="9" fillId="0" borderId="12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9" fillId="0" borderId="218" xfId="0" applyFont="1" applyBorder="1" applyAlignment="1">
      <alignment horizontal="center" vertical="center" wrapText="1"/>
    </xf>
    <xf numFmtId="0" fontId="1" fillId="0" borderId="178" xfId="0" applyFont="1" applyBorder="1" applyAlignment="1">
      <alignment horizontal="center" vertical="center"/>
    </xf>
    <xf numFmtId="0" fontId="1" fillId="0" borderId="218" xfId="0" applyFont="1" applyBorder="1" applyAlignment="1">
      <alignment horizontal="center" vertical="center"/>
    </xf>
    <xf numFmtId="0" fontId="5" fillId="0" borderId="219" xfId="0" applyFont="1" applyBorder="1" applyAlignment="1">
      <alignment horizontal="center" vertical="center"/>
    </xf>
    <xf numFmtId="0" fontId="9" fillId="0" borderId="221" xfId="0" applyFont="1" applyBorder="1" applyAlignment="1">
      <alignment horizontal="center" vertical="center" wrapText="1"/>
    </xf>
    <xf numFmtId="0" fontId="1" fillId="0" borderId="220" xfId="0" applyFont="1" applyBorder="1" applyAlignment="1">
      <alignment horizontal="center" vertical="center"/>
    </xf>
    <xf numFmtId="0" fontId="1" fillId="0" borderId="221" xfId="0" applyFont="1" applyBorder="1" applyAlignment="1">
      <alignment horizontal="center" vertical="center"/>
    </xf>
    <xf numFmtId="0" fontId="5" fillId="0" borderId="220" xfId="0" applyFont="1" applyBorder="1" applyAlignment="1">
      <alignment horizontal="center" vertical="center"/>
    </xf>
    <xf numFmtId="0" fontId="9" fillId="0" borderId="223" xfId="0" applyFont="1" applyBorder="1" applyAlignment="1">
      <alignment horizontal="center" vertical="center" wrapText="1"/>
    </xf>
    <xf numFmtId="0" fontId="1" fillId="0" borderId="222" xfId="0" applyFont="1" applyBorder="1" applyAlignment="1">
      <alignment horizontal="center" vertical="center"/>
    </xf>
    <xf numFmtId="0" fontId="1" fillId="0" borderId="223" xfId="0" applyFont="1" applyBorder="1" applyAlignment="1">
      <alignment horizontal="center" vertical="center"/>
    </xf>
    <xf numFmtId="0" fontId="5" fillId="0" borderId="222" xfId="0" applyFont="1" applyBorder="1" applyAlignment="1">
      <alignment horizontal="center" vertical="center"/>
    </xf>
    <xf numFmtId="0" fontId="6" fillId="0" borderId="12" xfId="0" applyFont="1" applyBorder="1"/>
    <xf numFmtId="0" fontId="12" fillId="0" borderId="233" xfId="0" applyFont="1" applyBorder="1" applyAlignment="1">
      <alignment horizontal="center"/>
    </xf>
    <xf numFmtId="0" fontId="12" fillId="0" borderId="235" xfId="0" applyFont="1" applyBorder="1" applyAlignment="1">
      <alignment horizontal="center"/>
    </xf>
    <xf numFmtId="0" fontId="12" fillId="0" borderId="236" xfId="0" applyFont="1" applyBorder="1" applyAlignment="1">
      <alignment horizontal="center"/>
    </xf>
    <xf numFmtId="0" fontId="6" fillId="0" borderId="228" xfId="0" applyFont="1" applyBorder="1" applyAlignment="1">
      <alignment horizontal="center"/>
    </xf>
    <xf numFmtId="0" fontId="6" fillId="0" borderId="229" xfId="0" applyFont="1" applyBorder="1" applyAlignment="1">
      <alignment horizontal="center"/>
    </xf>
    <xf numFmtId="0" fontId="6" fillId="0" borderId="78" xfId="0" applyFont="1" applyBorder="1" applyAlignment="1">
      <alignment horizontal="center"/>
    </xf>
    <xf numFmtId="0" fontId="6" fillId="0" borderId="230" xfId="0" applyFont="1" applyBorder="1" applyAlignment="1">
      <alignment horizontal="center"/>
    </xf>
    <xf numFmtId="0" fontId="6" fillId="0" borderId="234" xfId="0" applyFont="1" applyBorder="1" applyAlignment="1">
      <alignment horizontal="center"/>
    </xf>
    <xf numFmtId="0" fontId="6" fillId="0" borderId="232" xfId="0" applyFont="1" applyBorder="1" applyAlignment="1">
      <alignment horizontal="center"/>
    </xf>
    <xf numFmtId="0" fontId="6" fillId="0" borderId="231" xfId="0" applyFont="1" applyBorder="1" applyAlignment="1">
      <alignment horizontal="center"/>
    </xf>
    <xf numFmtId="0" fontId="6" fillId="0" borderId="237" xfId="0" applyFont="1" applyBorder="1" applyAlignment="1">
      <alignment horizontal="center"/>
    </xf>
    <xf numFmtId="0" fontId="6" fillId="2" borderId="227" xfId="0" applyFont="1" applyFill="1" applyBorder="1"/>
    <xf numFmtId="0" fontId="6" fillId="2" borderId="78" xfId="0" applyFont="1" applyFill="1" applyBorder="1"/>
    <xf numFmtId="10" fontId="2" fillId="0" borderId="238" xfId="1" applyNumberFormat="1" applyBorder="1" applyAlignment="1">
      <alignment horizontal="center" vertical="center"/>
    </xf>
    <xf numFmtId="0" fontId="3" fillId="3" borderId="239" xfId="1" applyFont="1" applyFill="1" applyBorder="1" applyAlignment="1">
      <alignment horizontal="center" vertical="center"/>
    </xf>
    <xf numFmtId="0" fontId="1" fillId="0" borderId="78" xfId="0" applyFont="1" applyBorder="1" applyAlignment="1">
      <alignment horizontal="center"/>
    </xf>
    <xf numFmtId="0" fontId="1" fillId="0" borderId="228" xfId="0" applyFont="1" applyBorder="1" applyAlignment="1">
      <alignment horizont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164" fontId="9" fillId="0" borderId="241" xfId="0" applyNumberFormat="1" applyFont="1" applyBorder="1" applyAlignment="1">
      <alignment horizontal="center"/>
    </xf>
    <xf numFmtId="164" fontId="9" fillId="0" borderId="140" xfId="0" applyNumberFormat="1" applyFont="1" applyBorder="1" applyAlignment="1">
      <alignment horizontal="center"/>
    </xf>
    <xf numFmtId="164" fontId="9" fillId="0" borderId="115" xfId="0" applyNumberFormat="1" applyFont="1" applyBorder="1" applyAlignment="1">
      <alignment horizontal="center"/>
    </xf>
    <xf numFmtId="164" fontId="9" fillId="0" borderId="142" xfId="0" applyNumberFormat="1" applyFont="1" applyBorder="1" applyAlignment="1">
      <alignment horizontal="center"/>
    </xf>
    <xf numFmtId="164" fontId="10" fillId="0" borderId="25" xfId="0" applyNumberFormat="1" applyFont="1" applyBorder="1" applyAlignment="1">
      <alignment horizontal="center" vertical="center"/>
    </xf>
    <xf numFmtId="0" fontId="4" fillId="6" borderId="40" xfId="1" applyFont="1" applyFill="1" applyBorder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9" fillId="0" borderId="245" xfId="0" applyFont="1" applyBorder="1" applyAlignment="1">
      <alignment horizontal="center" vertical="center"/>
    </xf>
    <xf numFmtId="164" fontId="19" fillId="0" borderId="243" xfId="0" applyNumberFormat="1" applyFont="1" applyBorder="1" applyAlignment="1">
      <alignment horizontal="center" vertical="center"/>
    </xf>
    <xf numFmtId="0" fontId="1" fillId="0" borderId="195" xfId="0" applyFont="1" applyBorder="1" applyAlignment="1">
      <alignment horizontal="center" vertical="center"/>
    </xf>
    <xf numFmtId="0" fontId="1" fillId="0" borderId="241" xfId="0" applyFont="1" applyBorder="1" applyAlignment="1">
      <alignment horizontal="center" vertical="center"/>
    </xf>
    <xf numFmtId="0" fontId="1" fillId="0" borderId="147" xfId="0" applyFont="1" applyBorder="1" applyAlignment="1">
      <alignment horizontal="center" vertical="center"/>
    </xf>
    <xf numFmtId="164" fontId="1" fillId="0" borderId="140" xfId="0" applyNumberFormat="1" applyFont="1" applyBorder="1" applyAlignment="1">
      <alignment horizontal="center" vertical="center"/>
    </xf>
    <xf numFmtId="0" fontId="1" fillId="0" borderId="197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247" xfId="0" applyFont="1" applyBorder="1" applyAlignment="1">
      <alignment horizontal="center" vertical="center"/>
    </xf>
    <xf numFmtId="164" fontId="1" fillId="0" borderId="241" xfId="0" applyNumberFormat="1" applyFont="1" applyBorder="1" applyAlignment="1">
      <alignment horizontal="center" vertical="center"/>
    </xf>
    <xf numFmtId="0" fontId="18" fillId="0" borderId="0" xfId="0" applyFont="1"/>
    <xf numFmtId="0" fontId="6" fillId="0" borderId="40" xfId="0" applyFont="1" applyBorder="1"/>
    <xf numFmtId="0" fontId="2" fillId="0" borderId="24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2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1" fillId="0" borderId="130" xfId="0" applyFont="1" applyBorder="1" applyAlignment="1">
      <alignment horizontal="center" vertical="center"/>
    </xf>
    <xf numFmtId="0" fontId="1" fillId="0" borderId="243" xfId="0" applyFont="1" applyBorder="1" applyAlignment="1">
      <alignment horizontal="center" vertical="center"/>
    </xf>
    <xf numFmtId="0" fontId="1" fillId="0" borderId="128" xfId="0" applyFont="1" applyBorder="1" applyAlignment="1">
      <alignment horizontal="center" vertical="center"/>
    </xf>
    <xf numFmtId="0" fontId="1" fillId="0" borderId="131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1" fillId="0" borderId="171" xfId="0" applyFont="1" applyBorder="1" applyAlignment="1">
      <alignment horizontal="center" vertical="center"/>
    </xf>
    <xf numFmtId="0" fontId="1" fillId="0" borderId="251" xfId="0" applyFont="1" applyBorder="1" applyAlignment="1">
      <alignment horizontal="center" vertical="center"/>
    </xf>
    <xf numFmtId="0" fontId="1" fillId="0" borderId="208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27" xfId="0" applyFont="1" applyBorder="1" applyAlignment="1">
      <alignment horizontal="center" vertical="center"/>
    </xf>
    <xf numFmtId="0" fontId="1" fillId="0" borderId="252" xfId="0" applyFont="1" applyBorder="1" applyAlignment="1">
      <alignment horizontal="center" vertical="center"/>
    </xf>
    <xf numFmtId="0" fontId="9" fillId="0" borderId="255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10" xfId="0" applyFont="1" applyBorder="1" applyAlignment="1">
      <alignment horizontal="center"/>
    </xf>
    <xf numFmtId="0" fontId="9" fillId="0" borderId="256" xfId="1" applyFont="1" applyBorder="1" applyAlignment="1">
      <alignment horizontal="center" vertical="center"/>
    </xf>
    <xf numFmtId="0" fontId="1" fillId="0" borderId="257" xfId="0" applyFont="1" applyBorder="1" applyAlignment="1">
      <alignment horizontal="center" vertical="center"/>
    </xf>
    <xf numFmtId="0" fontId="2" fillId="0" borderId="256" xfId="1" applyBorder="1" applyAlignment="1">
      <alignment horizontal="center" vertical="center"/>
    </xf>
    <xf numFmtId="0" fontId="2" fillId="0" borderId="258" xfId="1" applyBorder="1" applyAlignment="1">
      <alignment horizontal="center" vertical="center"/>
    </xf>
    <xf numFmtId="0" fontId="2" fillId="0" borderId="169" xfId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/>
    </xf>
    <xf numFmtId="164" fontId="1" fillId="0" borderId="142" xfId="0" applyNumberFormat="1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164" fontId="9" fillId="0" borderId="37" xfId="0" applyNumberFormat="1" applyFont="1" applyBorder="1" applyAlignment="1">
      <alignment horizontal="center"/>
    </xf>
    <xf numFmtId="0" fontId="1" fillId="0" borderId="6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59" xfId="0" applyFont="1" applyBorder="1" applyAlignment="1">
      <alignment horizontal="center" vertical="center"/>
    </xf>
    <xf numFmtId="0" fontId="9" fillId="0" borderId="260" xfId="0" applyFont="1" applyBorder="1" applyAlignment="1">
      <alignment horizontal="center" vertical="center"/>
    </xf>
    <xf numFmtId="164" fontId="9" fillId="0" borderId="261" xfId="0" applyNumberFormat="1" applyFont="1" applyBorder="1" applyAlignment="1">
      <alignment horizontal="center"/>
    </xf>
    <xf numFmtId="0" fontId="1" fillId="0" borderId="262" xfId="0" applyFont="1" applyBorder="1" applyAlignment="1">
      <alignment horizontal="center" vertical="center"/>
    </xf>
    <xf numFmtId="0" fontId="1" fillId="0" borderId="261" xfId="0" applyFont="1" applyBorder="1" applyAlignment="1">
      <alignment horizontal="center" vertical="center"/>
    </xf>
    <xf numFmtId="0" fontId="19" fillId="0" borderId="246" xfId="0" applyFont="1" applyBorder="1" applyAlignment="1">
      <alignment horizontal="center" vertical="center"/>
    </xf>
    <xf numFmtId="164" fontId="19" fillId="0" borderId="181" xfId="0" applyNumberFormat="1" applyFont="1" applyBorder="1" applyAlignment="1">
      <alignment horizontal="center" vertical="center"/>
    </xf>
    <xf numFmtId="0" fontId="10" fillId="0" borderId="263" xfId="0" applyFont="1" applyBorder="1" applyAlignment="1">
      <alignment horizontal="center" vertical="center"/>
    </xf>
    <xf numFmtId="164" fontId="10" fillId="0" borderId="181" xfId="0" applyNumberFormat="1" applyFont="1" applyBorder="1" applyAlignment="1">
      <alignment horizontal="center"/>
    </xf>
    <xf numFmtId="0" fontId="9" fillId="0" borderId="119" xfId="0" applyFont="1" applyBorder="1" applyAlignment="1">
      <alignment horizontal="center"/>
    </xf>
    <xf numFmtId="164" fontId="9" fillId="0" borderId="165" xfId="0" applyNumberFormat="1" applyFont="1" applyBorder="1" applyAlignment="1">
      <alignment horizontal="center"/>
    </xf>
    <xf numFmtId="0" fontId="1" fillId="0" borderId="52" xfId="0" applyFont="1" applyBorder="1" applyAlignment="1">
      <alignment horizontal="center" vertical="center"/>
    </xf>
    <xf numFmtId="0" fontId="1" fillId="0" borderId="172" xfId="0" applyFont="1" applyBorder="1" applyAlignment="1">
      <alignment horizontal="center" vertical="center"/>
    </xf>
    <xf numFmtId="0" fontId="9" fillId="0" borderId="147" xfId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196" xfId="1" applyBorder="1" applyAlignment="1">
      <alignment horizontal="center" vertical="center"/>
    </xf>
    <xf numFmtId="0" fontId="9" fillId="0" borderId="166" xfId="0" applyFont="1" applyBorder="1" applyAlignment="1">
      <alignment horizontal="center"/>
    </xf>
    <xf numFmtId="164" fontId="9" fillId="0" borderId="166" xfId="0" applyNumberFormat="1" applyFont="1" applyBorder="1" applyAlignment="1">
      <alignment horizontal="center"/>
    </xf>
    <xf numFmtId="0" fontId="12" fillId="0" borderId="166" xfId="0" applyFont="1" applyBorder="1" applyAlignment="1">
      <alignment horizontal="center"/>
    </xf>
    <xf numFmtId="0" fontId="12" fillId="0" borderId="167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164" fontId="9" fillId="0" borderId="49" xfId="0" applyNumberFormat="1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144" xfId="0" applyFont="1" applyBorder="1" applyAlignment="1">
      <alignment horizontal="center"/>
    </xf>
    <xf numFmtId="0" fontId="9" fillId="0" borderId="141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" fillId="0" borderId="112" xfId="0" quotePrefix="1" applyFont="1" applyBorder="1" applyAlignment="1">
      <alignment horizontal="center" vertical="center"/>
    </xf>
    <xf numFmtId="0" fontId="1" fillId="0" borderId="108" xfId="0" quotePrefix="1" applyFont="1" applyBorder="1" applyAlignment="1">
      <alignment horizontal="center" vertical="center"/>
    </xf>
    <xf numFmtId="0" fontId="1" fillId="0" borderId="115" xfId="0" quotePrefix="1" applyFont="1" applyBorder="1" applyAlignment="1">
      <alignment horizontal="center" vertical="center"/>
    </xf>
    <xf numFmtId="0" fontId="1" fillId="0" borderId="112" xfId="0" applyFont="1" applyBorder="1" applyAlignment="1">
      <alignment horizontal="center"/>
    </xf>
    <xf numFmtId="0" fontId="1" fillId="0" borderId="108" xfId="0" applyFont="1" applyBorder="1" applyAlignment="1">
      <alignment horizontal="center"/>
    </xf>
    <xf numFmtId="0" fontId="1" fillId="0" borderId="111" xfId="0" applyFont="1" applyBorder="1" applyAlignment="1">
      <alignment horizontal="center"/>
    </xf>
    <xf numFmtId="0" fontId="1" fillId="0" borderId="115" xfId="0" applyFont="1" applyBorder="1" applyAlignment="1">
      <alignment horizontal="center"/>
    </xf>
    <xf numFmtId="0" fontId="1" fillId="0" borderId="12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134" xfId="0" applyFont="1" applyBorder="1" applyAlignment="1">
      <alignment horizontal="center" vertical="center"/>
    </xf>
    <xf numFmtId="0" fontId="1" fillId="0" borderId="169" xfId="0" applyFont="1" applyBorder="1" applyAlignment="1">
      <alignment horizontal="center" vertical="center"/>
    </xf>
    <xf numFmtId="0" fontId="9" fillId="0" borderId="204" xfId="0" applyFont="1" applyBorder="1" applyAlignment="1">
      <alignment horizontal="center"/>
    </xf>
    <xf numFmtId="164" fontId="1" fillId="0" borderId="220" xfId="0" applyNumberFormat="1" applyFont="1" applyBorder="1" applyAlignment="1">
      <alignment horizontal="center" vertical="center"/>
    </xf>
    <xf numFmtId="164" fontId="1" fillId="0" borderId="178" xfId="0" applyNumberFormat="1" applyFont="1" applyBorder="1" applyAlignment="1">
      <alignment horizontal="center" vertical="center"/>
    </xf>
    <xf numFmtId="164" fontId="1" fillId="0" borderId="222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164" fontId="1" fillId="0" borderId="218" xfId="0" applyNumberFormat="1" applyFont="1" applyBorder="1" applyAlignment="1">
      <alignment horizontal="center" vertical="center"/>
    </xf>
    <xf numFmtId="164" fontId="1" fillId="0" borderId="221" xfId="0" applyNumberFormat="1" applyFont="1" applyBorder="1" applyAlignment="1">
      <alignment horizontal="center" vertical="center"/>
    </xf>
    <xf numFmtId="164" fontId="1" fillId="0" borderId="223" xfId="0" applyNumberFormat="1" applyFont="1" applyBorder="1" applyAlignment="1">
      <alignment horizontal="center" vertical="center"/>
    </xf>
    <xf numFmtId="164" fontId="1" fillId="0" borderId="120" xfId="0" applyNumberFormat="1" applyFont="1" applyBorder="1" applyAlignment="1">
      <alignment horizontal="center" vertical="center"/>
    </xf>
    <xf numFmtId="164" fontId="5" fillId="0" borderId="219" xfId="0" applyNumberFormat="1" applyFont="1" applyBorder="1" applyAlignment="1">
      <alignment horizontal="center" vertical="center"/>
    </xf>
    <xf numFmtId="164" fontId="5" fillId="0" borderId="220" xfId="0" applyNumberFormat="1" applyFont="1" applyBorder="1" applyAlignment="1">
      <alignment horizontal="center" vertical="center"/>
    </xf>
    <xf numFmtId="164" fontId="5" fillId="0" borderId="222" xfId="0" applyNumberFormat="1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2" fillId="0" borderId="202" xfId="0" applyFont="1" applyBorder="1" applyAlignment="1">
      <alignment horizontal="center" vertical="center"/>
    </xf>
    <xf numFmtId="0" fontId="2" fillId="0" borderId="174" xfId="0" applyFont="1" applyBorder="1" applyAlignment="1">
      <alignment horizontal="center" vertical="center"/>
    </xf>
    <xf numFmtId="0" fontId="0" fillId="0" borderId="16" xfId="0" applyBorder="1"/>
    <xf numFmtId="0" fontId="0" fillId="0" borderId="14" xfId="0" applyBorder="1"/>
    <xf numFmtId="0" fontId="0" fillId="0" borderId="16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37" xfId="0" applyNumberFormat="1" applyFont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0" fillId="0" borderId="3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" fontId="20" fillId="0" borderId="0" xfId="0" applyNumberFormat="1" applyFont="1"/>
    <xf numFmtId="164" fontId="20" fillId="0" borderId="0" xfId="0" applyNumberFormat="1" applyFont="1"/>
    <xf numFmtId="0" fontId="20" fillId="0" borderId="0" xfId="0" applyFont="1"/>
    <xf numFmtId="3" fontId="5" fillId="0" borderId="0" xfId="0" applyNumberFormat="1" applyFont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164" fontId="1" fillId="0" borderId="52" xfId="0" applyNumberFormat="1" applyFont="1" applyBorder="1" applyAlignment="1">
      <alignment horizontal="center" vertical="center"/>
    </xf>
    <xf numFmtId="164" fontId="5" fillId="0" borderId="52" xfId="0" applyNumberFormat="1" applyFont="1" applyBorder="1" applyAlignment="1">
      <alignment horizontal="center" vertical="center"/>
    </xf>
    <xf numFmtId="0" fontId="21" fillId="0" borderId="0" xfId="0" applyFont="1"/>
    <xf numFmtId="1" fontId="1" fillId="0" borderId="0" xfId="0" applyNumberFormat="1" applyFont="1"/>
    <xf numFmtId="0" fontId="2" fillId="3" borderId="147" xfId="1" applyFill="1" applyBorder="1" applyAlignment="1">
      <alignment horizontal="center" vertical="center"/>
    </xf>
    <xf numFmtId="0" fontId="9" fillId="3" borderId="150" xfId="1" applyFont="1" applyFill="1" applyBorder="1" applyAlignment="1">
      <alignment horizontal="center" vertical="center"/>
    </xf>
    <xf numFmtId="0" fontId="9" fillId="3" borderId="147" xfId="1" applyFont="1" applyFill="1" applyBorder="1" applyAlignment="1">
      <alignment horizontal="center" vertical="center"/>
    </xf>
    <xf numFmtId="0" fontId="9" fillId="3" borderId="197" xfId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12" fillId="3" borderId="46" xfId="0" applyFont="1" applyFill="1" applyBorder="1" applyAlignment="1">
      <alignment horizontal="center"/>
    </xf>
    <xf numFmtId="0" fontId="12" fillId="3" borderId="49" xfId="0" applyFont="1" applyFill="1" applyBorder="1" applyAlignment="1">
      <alignment horizontal="center"/>
    </xf>
    <xf numFmtId="164" fontId="0" fillId="0" borderId="0" xfId="0" applyNumberFormat="1"/>
    <xf numFmtId="0" fontId="0" fillId="0" borderId="108" xfId="0" applyBorder="1"/>
    <xf numFmtId="0" fontId="0" fillId="0" borderId="108" xfId="0" applyBorder="1" applyAlignment="1">
      <alignment horizontal="center"/>
    </xf>
    <xf numFmtId="0" fontId="0" fillId="0" borderId="43" xfId="0" applyBorder="1"/>
    <xf numFmtId="0" fontId="0" fillId="0" borderId="120" xfId="0" applyBorder="1"/>
    <xf numFmtId="0" fontId="0" fillId="0" borderId="169" xfId="0" applyBorder="1" applyAlignment="1">
      <alignment horizontal="center"/>
    </xf>
    <xf numFmtId="0" fontId="0" fillId="0" borderId="171" xfId="0" applyBorder="1" applyAlignment="1">
      <alignment horizontal="center"/>
    </xf>
    <xf numFmtId="0" fontId="0" fillId="0" borderId="1" xfId="0" applyBorder="1"/>
    <xf numFmtId="2" fontId="5" fillId="0" borderId="40" xfId="0" applyNumberFormat="1" applyFont="1" applyBorder="1" applyAlignment="1">
      <alignment horizontal="center" vertical="center"/>
    </xf>
    <xf numFmtId="2" fontId="0" fillId="0" borderId="0" xfId="0" applyNumberFormat="1"/>
    <xf numFmtId="0" fontId="22" fillId="0" borderId="0" xfId="0" applyFont="1"/>
    <xf numFmtId="0" fontId="22" fillId="0" borderId="104" xfId="0" applyFont="1" applyBorder="1"/>
    <xf numFmtId="0" fontId="0" fillId="0" borderId="32" xfId="0" applyBorder="1"/>
    <xf numFmtId="3" fontId="0" fillId="0" borderId="32" xfId="0" applyNumberFormat="1" applyBorder="1"/>
    <xf numFmtId="3" fontId="0" fillId="0" borderId="33" xfId="0" applyNumberFormat="1" applyBorder="1"/>
    <xf numFmtId="0" fontId="0" fillId="0" borderId="129" xfId="0" applyBorder="1"/>
    <xf numFmtId="0" fontId="0" fillId="0" borderId="12" xfId="0" applyBorder="1"/>
    <xf numFmtId="43" fontId="0" fillId="0" borderId="15" xfId="2" applyFont="1" applyBorder="1"/>
    <xf numFmtId="0" fontId="0" fillId="0" borderId="55" xfId="0" applyBorder="1"/>
    <xf numFmtId="0" fontId="0" fillId="0" borderId="135" xfId="0" applyBorder="1"/>
    <xf numFmtId="43" fontId="0" fillId="0" borderId="128" xfId="2" applyFont="1" applyBorder="1"/>
    <xf numFmtId="164" fontId="0" fillId="0" borderId="172" xfId="0" applyNumberFormat="1" applyBorder="1"/>
    <xf numFmtId="0" fontId="0" fillId="0" borderId="172" xfId="0" applyBorder="1"/>
    <xf numFmtId="0" fontId="0" fillId="0" borderId="180" xfId="0" applyBorder="1"/>
    <xf numFmtId="0" fontId="0" fillId="0" borderId="0" xfId="0" applyAlignment="1">
      <alignment horizontal="center"/>
    </xf>
    <xf numFmtId="43" fontId="0" fillId="0" borderId="0" xfId="0" applyNumberFormat="1"/>
    <xf numFmtId="0" fontId="1" fillId="0" borderId="171" xfId="0" applyFont="1" applyBorder="1" applyAlignment="1">
      <alignment horizontal="center"/>
    </xf>
    <xf numFmtId="0" fontId="5" fillId="0" borderId="171" xfId="0" applyFont="1" applyBorder="1" applyAlignment="1">
      <alignment horizontal="center"/>
    </xf>
    <xf numFmtId="1" fontId="1" fillId="0" borderId="171" xfId="0" applyNumberFormat="1" applyFont="1" applyBorder="1" applyAlignment="1">
      <alignment horizontal="center"/>
    </xf>
    <xf numFmtId="0" fontId="1" fillId="0" borderId="171" xfId="0" applyFont="1" applyBorder="1"/>
    <xf numFmtId="164" fontId="1" fillId="0" borderId="171" xfId="0" applyNumberFormat="1" applyFont="1" applyBorder="1"/>
    <xf numFmtId="164" fontId="5" fillId="0" borderId="171" xfId="0" applyNumberFormat="1" applyFont="1" applyBorder="1"/>
    <xf numFmtId="0" fontId="0" fillId="0" borderId="37" xfId="0" applyBorder="1"/>
    <xf numFmtId="0" fontId="1" fillId="4" borderId="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3" borderId="277" xfId="0" applyFont="1" applyFill="1" applyBorder="1" applyAlignment="1">
      <alignment horizontal="center" vertical="center"/>
    </xf>
    <xf numFmtId="0" fontId="1" fillId="3" borderId="93" xfId="0" applyFont="1" applyFill="1" applyBorder="1"/>
    <xf numFmtId="0" fontId="1" fillId="3" borderId="88" xfId="0" applyFont="1" applyFill="1" applyBorder="1"/>
    <xf numFmtId="0" fontId="1" fillId="3" borderId="177" xfId="0" applyFont="1" applyFill="1" applyBorder="1"/>
    <xf numFmtId="0" fontId="0" fillId="3" borderId="90" xfId="0" applyFill="1" applyBorder="1"/>
    <xf numFmtId="0" fontId="6" fillId="0" borderId="27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75" xfId="0" applyFont="1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6" fillId="0" borderId="26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76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8" xfId="0" applyBorder="1" applyAlignment="1">
      <alignment horizontal="center" vertical="center"/>
    </xf>
    <xf numFmtId="0" fontId="6" fillId="0" borderId="162" xfId="0" applyFont="1" applyBorder="1" applyAlignment="1">
      <alignment horizontal="center" vertical="center"/>
    </xf>
    <xf numFmtId="0" fontId="0" fillId="0" borderId="203" xfId="0" applyBorder="1" applyAlignment="1">
      <alignment horizontal="center" vertical="center"/>
    </xf>
    <xf numFmtId="0" fontId="1" fillId="4" borderId="279" xfId="0" applyFont="1" applyFill="1" applyBorder="1" applyAlignment="1">
      <alignment horizontal="center" vertical="center"/>
    </xf>
    <xf numFmtId="0" fontId="1" fillId="4" borderId="272" xfId="0" applyFont="1" applyFill="1" applyBorder="1" applyAlignment="1">
      <alignment horizontal="center" vertical="center"/>
    </xf>
    <xf numFmtId="0" fontId="1" fillId="4" borderId="270" xfId="0" applyFont="1" applyFill="1" applyBorder="1" applyAlignment="1">
      <alignment horizontal="center" vertical="center"/>
    </xf>
    <xf numFmtId="0" fontId="1" fillId="4" borderId="273" xfId="0" applyFont="1" applyFill="1" applyBorder="1" applyAlignment="1">
      <alignment horizontal="center" vertical="center"/>
    </xf>
    <xf numFmtId="0" fontId="1" fillId="0" borderId="274" xfId="0" applyFont="1" applyBorder="1" applyAlignment="1">
      <alignment horizontal="left" vertical="center"/>
    </xf>
    <xf numFmtId="0" fontId="1" fillId="0" borderId="269" xfId="0" applyFont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0" fillId="0" borderId="28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8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1" fillId="0" borderId="134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2" fillId="0" borderId="226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226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/>
    </xf>
    <xf numFmtId="0" fontId="16" fillId="0" borderId="108" xfId="0" applyFont="1" applyBorder="1" applyAlignment="1">
      <alignment horizontal="center" vertical="center"/>
    </xf>
    <xf numFmtId="0" fontId="9" fillId="0" borderId="247" xfId="1" applyFont="1" applyBorder="1" applyAlignment="1">
      <alignment horizontal="center" vertical="center"/>
    </xf>
    <xf numFmtId="0" fontId="9" fillId="0" borderId="150" xfId="1" applyFont="1" applyBorder="1" applyAlignment="1">
      <alignment horizontal="center" vertical="center"/>
    </xf>
    <xf numFmtId="0" fontId="9" fillId="0" borderId="22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64" fontId="9" fillId="0" borderId="226" xfId="0" applyNumberFormat="1" applyFont="1" applyBorder="1" applyAlignment="1">
      <alignment horizontal="center" vertical="center"/>
    </xf>
    <xf numFmtId="164" fontId="9" fillId="0" borderId="46" xfId="0" applyNumberFormat="1" applyFont="1" applyBorder="1" applyAlignment="1">
      <alignment horizontal="center" vertical="center"/>
    </xf>
    <xf numFmtId="0" fontId="12" fillId="0" borderId="233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6" fillId="0" borderId="23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1" fillId="0" borderId="230" xfId="0" applyFont="1" applyBorder="1" applyAlignment="1">
      <alignment horizontal="center" vertical="center"/>
    </xf>
    <xf numFmtId="0" fontId="1" fillId="0" borderId="2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6" fillId="0" borderId="22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0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10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6" fillId="0" borderId="226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12" fillId="0" borderId="264" xfId="0" applyFont="1" applyBorder="1" applyAlignment="1">
      <alignment horizontal="center"/>
    </xf>
    <xf numFmtId="0" fontId="12" fillId="0" borderId="145" xfId="0" applyFont="1" applyBorder="1" applyAlignment="1">
      <alignment horizontal="center"/>
    </xf>
    <xf numFmtId="0" fontId="12" fillId="0" borderId="247" xfId="0" applyFont="1" applyBorder="1" applyAlignment="1">
      <alignment horizontal="center"/>
    </xf>
    <xf numFmtId="0" fontId="12" fillId="0" borderId="150" xfId="0" applyFont="1" applyBorder="1" applyAlignment="1">
      <alignment horizontal="center"/>
    </xf>
    <xf numFmtId="0" fontId="1" fillId="0" borderId="78" xfId="0" applyFont="1" applyBorder="1" applyAlignment="1">
      <alignment horizontal="center" vertical="center"/>
    </xf>
    <xf numFmtId="0" fontId="12" fillId="0" borderId="233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6" fillId="0" borderId="230" xfId="0" applyFont="1" applyBorder="1" applyAlignment="1">
      <alignment horizontal="center"/>
    </xf>
    <xf numFmtId="0" fontId="6" fillId="0" borderId="229" xfId="0" applyFont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9" fillId="0" borderId="68" xfId="1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164" fontId="9" fillId="0" borderId="71" xfId="0" applyNumberFormat="1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12" fillId="0" borderId="164" xfId="0" applyFont="1" applyBorder="1" applyAlignment="1">
      <alignment horizontal="center" vertical="center"/>
    </xf>
    <xf numFmtId="0" fontId="2" fillId="0" borderId="247" xfId="1" applyBorder="1" applyAlignment="1">
      <alignment horizontal="center" vertical="center"/>
    </xf>
    <xf numFmtId="0" fontId="2" fillId="0" borderId="150" xfId="1" applyBorder="1" applyAlignment="1">
      <alignment horizontal="center" vertical="center"/>
    </xf>
    <xf numFmtId="0" fontId="1" fillId="0" borderId="40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4" borderId="77" xfId="1" applyFont="1" applyFill="1" applyBorder="1" applyAlignment="1">
      <alignment horizontal="center" vertical="center"/>
    </xf>
    <xf numFmtId="0" fontId="3" fillId="4" borderId="240" xfId="1" applyFont="1" applyFill="1" applyBorder="1" applyAlignment="1">
      <alignment horizontal="center" vertical="center"/>
    </xf>
    <xf numFmtId="0" fontId="2" fillId="0" borderId="146" xfId="0" applyFont="1" applyBorder="1" applyAlignment="1">
      <alignment horizontal="center"/>
    </xf>
    <xf numFmtId="0" fontId="2" fillId="0" borderId="135" xfId="0" applyFont="1" applyBorder="1" applyAlignment="1">
      <alignment horizontal="center"/>
    </xf>
    <xf numFmtId="0" fontId="2" fillId="0" borderId="248" xfId="0" applyFont="1" applyBorder="1" applyAlignment="1">
      <alignment horizontal="center"/>
    </xf>
    <xf numFmtId="0" fontId="2" fillId="0" borderId="12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2" borderId="12" xfId="1" applyFont="1" applyFill="1" applyBorder="1" applyAlignment="1">
      <alignment horizontal="center" vertical="center"/>
    </xf>
    <xf numFmtId="0" fontId="4" fillId="2" borderId="52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3" fillId="4" borderId="51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51" xfId="1" applyFont="1" applyFill="1" applyBorder="1" applyAlignment="1">
      <alignment horizontal="center" vertical="center"/>
    </xf>
    <xf numFmtId="0" fontId="3" fillId="4" borderId="54" xfId="1" applyFont="1" applyFill="1" applyBorder="1" applyAlignment="1">
      <alignment horizontal="center" vertical="center"/>
    </xf>
    <xf numFmtId="0" fontId="3" fillId="4" borderId="41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4" borderId="37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3" fillId="4" borderId="193" xfId="1" applyFont="1" applyFill="1" applyBorder="1" applyAlignment="1">
      <alignment horizontal="center" vertical="center" wrapText="1"/>
    </xf>
    <xf numFmtId="0" fontId="3" fillId="4" borderId="194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42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1" fillId="0" borderId="146" xfId="0" applyFont="1" applyBorder="1" applyAlignment="1">
      <alignment horizontal="center"/>
    </xf>
    <xf numFmtId="0" fontId="1" fillId="0" borderId="135" xfId="0" applyFont="1" applyBorder="1" applyAlignment="1">
      <alignment horizontal="center"/>
    </xf>
    <xf numFmtId="0" fontId="1" fillId="0" borderId="146" xfId="0" quotePrefix="1" applyFont="1" applyBorder="1" applyAlignment="1">
      <alignment horizontal="center" vertical="center"/>
    </xf>
    <xf numFmtId="0" fontId="1" fillId="0" borderId="127" xfId="0" quotePrefix="1" applyFont="1" applyBorder="1" applyAlignment="1">
      <alignment horizontal="center" vertical="center"/>
    </xf>
    <xf numFmtId="0" fontId="1" fillId="0" borderId="128" xfId="0" quotePrefix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" fontId="5" fillId="0" borderId="202" xfId="0" applyNumberFormat="1" applyFont="1" applyBorder="1" applyAlignment="1">
      <alignment horizontal="center" vertical="center"/>
    </xf>
    <xf numFmtId="1" fontId="5" fillId="0" borderId="13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1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2" borderId="24" xfId="1" applyFill="1" applyBorder="1" applyAlignment="1">
      <alignment horizontal="center" vertical="center"/>
    </xf>
    <xf numFmtId="0" fontId="2" fillId="2" borderId="16" xfId="1" applyFill="1" applyBorder="1" applyAlignment="1">
      <alignment horizontal="center" vertical="center"/>
    </xf>
    <xf numFmtId="0" fontId="2" fillId="2" borderId="25" xfId="1" applyFill="1" applyBorder="1" applyAlignment="1">
      <alignment horizontal="center" vertical="center"/>
    </xf>
    <xf numFmtId="0" fontId="2" fillId="2" borderId="13" xfId="1" applyFill="1" applyBorder="1" applyAlignment="1">
      <alignment horizontal="center" vertical="center"/>
    </xf>
    <xf numFmtId="0" fontId="2" fillId="2" borderId="14" xfId="1" applyFill="1" applyBorder="1" applyAlignment="1">
      <alignment horizontal="center" vertical="center"/>
    </xf>
    <xf numFmtId="0" fontId="2" fillId="2" borderId="15" xfId="1" applyFill="1" applyBorder="1" applyAlignment="1">
      <alignment horizontal="center" vertical="center"/>
    </xf>
    <xf numFmtId="0" fontId="1" fillId="0" borderId="204" xfId="0" applyFont="1" applyBorder="1" applyAlignment="1">
      <alignment horizontal="center" vertical="center"/>
    </xf>
    <xf numFmtId="0" fontId="1" fillId="0" borderId="174" xfId="0" applyFont="1" applyBorder="1" applyAlignment="1">
      <alignment horizontal="center" vertical="center"/>
    </xf>
    <xf numFmtId="0" fontId="1" fillId="0" borderId="205" xfId="0" applyFont="1" applyBorder="1" applyAlignment="1">
      <alignment horizontal="center" vertical="center"/>
    </xf>
    <xf numFmtId="0" fontId="1" fillId="0" borderId="203" xfId="0" applyFont="1" applyBorder="1" applyAlignment="1">
      <alignment horizontal="center" vertical="center"/>
    </xf>
    <xf numFmtId="0" fontId="1" fillId="0" borderId="204" xfId="0" applyFont="1" applyBorder="1" applyAlignment="1">
      <alignment horizontal="center" vertical="center" wrapText="1"/>
    </xf>
    <xf numFmtId="0" fontId="1" fillId="0" borderId="174" xfId="0" applyFont="1" applyBorder="1" applyAlignment="1">
      <alignment horizontal="center" vertical="center" wrapText="1"/>
    </xf>
    <xf numFmtId="0" fontId="1" fillId="0" borderId="20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 wrapText="1"/>
    </xf>
    <xf numFmtId="0" fontId="5" fillId="0" borderId="12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2" fillId="0" borderId="224" xfId="1" applyBorder="1" applyAlignment="1">
      <alignment horizontal="center" vertical="center"/>
    </xf>
    <xf numFmtId="0" fontId="2" fillId="0" borderId="198" xfId="1" applyBorder="1" applyAlignment="1">
      <alignment horizontal="center" vertical="center"/>
    </xf>
    <xf numFmtId="0" fontId="9" fillId="0" borderId="22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2" fillId="0" borderId="191" xfId="0" applyFont="1" applyBorder="1" applyAlignment="1">
      <alignment horizontal="center"/>
    </xf>
    <xf numFmtId="0" fontId="2" fillId="0" borderId="185" xfId="0" applyFont="1" applyBorder="1" applyAlignment="1">
      <alignment horizontal="center"/>
    </xf>
    <xf numFmtId="0" fontId="1" fillId="0" borderId="13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" fontId="2" fillId="2" borderId="8" xfId="1" applyNumberFormat="1" applyFill="1" applyBorder="1" applyAlignment="1">
      <alignment horizontal="center" vertical="center"/>
    </xf>
    <xf numFmtId="3" fontId="2" fillId="2" borderId="32" xfId="1" applyNumberFormat="1" applyFill="1" applyBorder="1" applyAlignment="1">
      <alignment horizontal="center" vertical="center"/>
    </xf>
    <xf numFmtId="3" fontId="2" fillId="2" borderId="33" xfId="1" applyNumberFormat="1" applyFill="1" applyBorder="1" applyAlignment="1">
      <alignment horizontal="center" vertical="center"/>
    </xf>
    <xf numFmtId="3" fontId="2" fillId="0" borderId="8" xfId="1" applyNumberFormat="1" applyBorder="1" applyAlignment="1">
      <alignment horizontal="center" vertical="center"/>
    </xf>
    <xf numFmtId="3" fontId="2" fillId="0" borderId="32" xfId="1" applyNumberFormat="1" applyBorder="1" applyAlignment="1">
      <alignment horizontal="center" vertical="center"/>
    </xf>
    <xf numFmtId="3" fontId="2" fillId="0" borderId="33" xfId="1" applyNumberFormat="1" applyBorder="1" applyAlignment="1">
      <alignment horizontal="center" vertical="center"/>
    </xf>
    <xf numFmtId="3" fontId="1" fillId="0" borderId="8" xfId="2" applyNumberFormat="1" applyFont="1" applyBorder="1" applyAlignment="1">
      <alignment horizontal="center" vertical="center"/>
    </xf>
    <xf numFmtId="3" fontId="1" fillId="0" borderId="32" xfId="2" applyNumberFormat="1" applyFont="1" applyBorder="1" applyAlignment="1">
      <alignment horizontal="center" vertical="center"/>
    </xf>
    <xf numFmtId="3" fontId="1" fillId="0" borderId="33" xfId="2" applyNumberFormat="1" applyFont="1" applyBorder="1" applyAlignment="1">
      <alignment horizontal="center" vertical="center"/>
    </xf>
    <xf numFmtId="0" fontId="2" fillId="0" borderId="68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3" xfId="0" applyFont="1" applyBorder="1" applyAlignment="1">
      <alignment horizontal="center" vertical="center" textRotation="90"/>
    </xf>
    <xf numFmtId="0" fontId="1" fillId="0" borderId="120" xfId="0" applyFont="1" applyBorder="1" applyAlignment="1">
      <alignment horizontal="center" vertical="center" textRotation="90"/>
    </xf>
    <xf numFmtId="0" fontId="1" fillId="0" borderId="55" xfId="0" applyFont="1" applyBorder="1" applyAlignment="1">
      <alignment horizontal="center" vertical="center" textRotation="90"/>
    </xf>
    <xf numFmtId="0" fontId="1" fillId="0" borderId="172" xfId="0" applyFont="1" applyBorder="1" applyAlignment="1">
      <alignment horizontal="center"/>
    </xf>
    <xf numFmtId="0" fontId="1" fillId="0" borderId="173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4" borderId="193" xfId="0" applyFont="1" applyFill="1" applyBorder="1" applyAlignment="1">
      <alignment horizontal="center" vertical="center"/>
    </xf>
    <xf numFmtId="0" fontId="3" fillId="4" borderId="194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/>
    </xf>
    <xf numFmtId="0" fontId="2" fillId="0" borderId="108" xfId="0" applyFont="1" applyBorder="1" applyAlignment="1">
      <alignment horizontal="center"/>
    </xf>
    <xf numFmtId="0" fontId="2" fillId="0" borderId="12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6" fillId="0" borderId="40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206" xfId="0" applyFont="1" applyBorder="1" applyAlignment="1">
      <alignment horizontal="center" vertical="center" textRotation="255"/>
    </xf>
    <xf numFmtId="0" fontId="1" fillId="0" borderId="20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72" xfId="0" applyFont="1" applyBorder="1" applyAlignment="1">
      <alignment horizontal="center" vertical="center"/>
    </xf>
    <xf numFmtId="0" fontId="2" fillId="0" borderId="173" xfId="0" applyFont="1" applyBorder="1" applyAlignment="1">
      <alignment horizontal="center" vertical="center"/>
    </xf>
    <xf numFmtId="0" fontId="2" fillId="0" borderId="192" xfId="0" applyFont="1" applyBorder="1" applyAlignment="1">
      <alignment horizontal="center"/>
    </xf>
    <xf numFmtId="0" fontId="2" fillId="0" borderId="188" xfId="0" applyFont="1" applyBorder="1" applyAlignment="1">
      <alignment horizontal="center"/>
    </xf>
    <xf numFmtId="0" fontId="5" fillId="0" borderId="43" xfId="0" applyFont="1" applyBorder="1" applyAlignment="1">
      <alignment horizontal="center" vertical="center"/>
    </xf>
    <xf numFmtId="0" fontId="10" fillId="0" borderId="17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42" xfId="0" applyFont="1" applyBorder="1" applyAlignment="1">
      <alignment horizontal="center"/>
    </xf>
    <xf numFmtId="0" fontId="1" fillId="0" borderId="130" xfId="0" applyFont="1" applyBorder="1" applyAlignment="1">
      <alignment horizontal="center"/>
    </xf>
    <xf numFmtId="0" fontId="1" fillId="0" borderId="24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6" xfId="0" applyFont="1" applyBorder="1" applyAlignment="1">
      <alignment horizontal="center" vertical="center"/>
    </xf>
    <xf numFmtId="0" fontId="1" fillId="0" borderId="127" xfId="0" applyFont="1" applyBorder="1" applyAlignment="1">
      <alignment horizontal="center"/>
    </xf>
    <xf numFmtId="0" fontId="1" fillId="0" borderId="131" xfId="0" applyFont="1" applyBorder="1" applyAlignment="1">
      <alignment horizontal="center"/>
    </xf>
    <xf numFmtId="0" fontId="1" fillId="0" borderId="18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248" xfId="0" applyFont="1" applyBorder="1" applyAlignment="1">
      <alignment horizontal="center"/>
    </xf>
    <xf numFmtId="0" fontId="1" fillId="0" borderId="128" xfId="0" applyFont="1" applyBorder="1" applyAlignment="1">
      <alignment horizontal="center"/>
    </xf>
    <xf numFmtId="0" fontId="1" fillId="0" borderId="244" xfId="0" applyFont="1" applyBorder="1" applyAlignment="1">
      <alignment horizontal="center"/>
    </xf>
    <xf numFmtId="0" fontId="1" fillId="0" borderId="250" xfId="0" applyFont="1" applyBorder="1" applyAlignment="1">
      <alignment horizontal="center"/>
    </xf>
    <xf numFmtId="0" fontId="1" fillId="0" borderId="181" xfId="0" applyFont="1" applyBorder="1" applyAlignment="1">
      <alignment horizontal="center"/>
    </xf>
    <xf numFmtId="0" fontId="1" fillId="0" borderId="242" xfId="0" applyFont="1" applyBorder="1" applyAlignment="1">
      <alignment horizontal="center" vertical="center"/>
    </xf>
    <xf numFmtId="0" fontId="1" fillId="0" borderId="130" xfId="0" applyFont="1" applyBorder="1" applyAlignment="1">
      <alignment horizontal="center" vertical="center"/>
    </xf>
    <xf numFmtId="0" fontId="1" fillId="0" borderId="243" xfId="0" applyFont="1" applyBorder="1" applyAlignment="1">
      <alignment horizontal="center" vertical="center"/>
    </xf>
    <xf numFmtId="0" fontId="2" fillId="0" borderId="146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50" xfId="0" applyFont="1" applyBorder="1" applyAlignment="1">
      <alignment horizontal="left" vertical="center"/>
    </xf>
    <xf numFmtId="0" fontId="2" fillId="0" borderId="154" xfId="0" applyFont="1" applyBorder="1" applyAlignment="1">
      <alignment horizontal="left" vertical="center"/>
    </xf>
    <xf numFmtId="164" fontId="2" fillId="0" borderId="118" xfId="0" applyNumberFormat="1" applyFont="1" applyBorder="1" applyAlignment="1">
      <alignment horizontal="center" vertical="center"/>
    </xf>
    <xf numFmtId="164" fontId="2" fillId="0" borderId="164" xfId="0" applyNumberFormat="1" applyFont="1" applyBorder="1" applyAlignment="1">
      <alignment horizontal="center" vertical="center"/>
    </xf>
    <xf numFmtId="164" fontId="2" fillId="0" borderId="16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160" xfId="0" applyFont="1" applyBorder="1" applyAlignment="1">
      <alignment horizontal="center" vertical="center"/>
    </xf>
    <xf numFmtId="0" fontId="13" fillId="0" borderId="161" xfId="0" applyFont="1" applyBorder="1" applyAlignment="1">
      <alignment horizontal="center" vertical="center"/>
    </xf>
    <xf numFmtId="0" fontId="13" fillId="0" borderId="125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267" xfId="0" applyFont="1" applyBorder="1" applyAlignment="1">
      <alignment horizontal="center" vertical="center"/>
    </xf>
    <xf numFmtId="0" fontId="2" fillId="0" borderId="265" xfId="0" applyFont="1" applyBorder="1" applyAlignment="1">
      <alignment horizontal="left" vertical="center"/>
    </xf>
    <xf numFmtId="0" fontId="2" fillId="0" borderId="266" xfId="0" applyFont="1" applyBorder="1" applyAlignment="1">
      <alignment horizontal="left" vertical="center"/>
    </xf>
    <xf numFmtId="3" fontId="2" fillId="0" borderId="32" xfId="0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/>
    </xf>
    <xf numFmtId="3" fontId="2" fillId="0" borderId="129" xfId="2" applyNumberFormat="1" applyFont="1" applyBorder="1" applyAlignment="1">
      <alignment horizontal="center" vertical="center"/>
    </xf>
    <xf numFmtId="3" fontId="2" fillId="0" borderId="12" xfId="2" applyNumberFormat="1" applyFont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5" fillId="4" borderId="40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2" fontId="2" fillId="0" borderId="180" xfId="2" applyNumberFormat="1" applyFont="1" applyBorder="1" applyAlignment="1">
      <alignment horizontal="center" vertical="center"/>
    </xf>
    <xf numFmtId="2" fontId="2" fillId="0" borderId="172" xfId="2" applyNumberFormat="1" applyFont="1" applyBorder="1" applyAlignment="1">
      <alignment horizontal="center" vertical="center"/>
    </xf>
    <xf numFmtId="2" fontId="2" fillId="0" borderId="181" xfId="2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3" fillId="4" borderId="39" xfId="1" applyFont="1" applyFill="1" applyBorder="1" applyAlignment="1">
      <alignment horizontal="center" vertical="center"/>
    </xf>
    <xf numFmtId="0" fontId="3" fillId="4" borderId="38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10" fillId="0" borderId="242" xfId="1" applyFont="1" applyBorder="1" applyAlignment="1">
      <alignment horizontal="center" vertical="center"/>
    </xf>
    <xf numFmtId="0" fontId="10" fillId="0" borderId="130" xfId="1" applyFont="1" applyBorder="1" applyAlignment="1">
      <alignment horizontal="center" vertical="center"/>
    </xf>
    <xf numFmtId="0" fontId="14" fillId="6" borderId="108" xfId="1" applyFont="1" applyFill="1" applyBorder="1" applyAlignment="1">
      <alignment horizontal="center" vertical="center"/>
    </xf>
    <xf numFmtId="0" fontId="14" fillId="6" borderId="115" xfId="1" applyFont="1" applyFill="1" applyBorder="1" applyAlignment="1">
      <alignment horizontal="center" vertical="center"/>
    </xf>
    <xf numFmtId="0" fontId="4" fillId="5" borderId="129" xfId="1" applyFont="1" applyFill="1" applyBorder="1" applyAlignment="1">
      <alignment horizontal="center" vertical="center"/>
    </xf>
    <xf numFmtId="0" fontId="4" fillId="5" borderId="12" xfId="1" applyFont="1" applyFill="1" applyBorder="1" applyAlignment="1">
      <alignment horizontal="center" vertical="center"/>
    </xf>
    <xf numFmtId="0" fontId="4" fillId="5" borderId="52" xfId="1" applyFont="1" applyFill="1" applyBorder="1" applyAlignment="1">
      <alignment horizontal="center" vertical="center"/>
    </xf>
    <xf numFmtId="0" fontId="4" fillId="5" borderId="112" xfId="1" applyFont="1" applyFill="1" applyBorder="1" applyAlignment="1">
      <alignment horizontal="center" vertical="center"/>
    </xf>
    <xf numFmtId="0" fontId="4" fillId="5" borderId="108" xfId="1" applyFont="1" applyFill="1" applyBorder="1" applyAlignment="1">
      <alignment horizontal="center" vertical="center"/>
    </xf>
    <xf numFmtId="0" fontId="4" fillId="5" borderId="115" xfId="1" applyFont="1" applyFill="1" applyBorder="1" applyAlignment="1">
      <alignment horizontal="center" vertical="center"/>
    </xf>
    <xf numFmtId="0" fontId="3" fillId="6" borderId="91" xfId="1" applyFont="1" applyFill="1" applyBorder="1" applyAlignment="1">
      <alignment horizontal="center" vertical="center" wrapText="1"/>
    </xf>
    <xf numFmtId="0" fontId="3" fillId="6" borderId="254" xfId="1" applyFont="1" applyFill="1" applyBorder="1" applyAlignment="1">
      <alignment horizontal="center" vertical="center" wrapText="1"/>
    </xf>
    <xf numFmtId="0" fontId="3" fillId="6" borderId="25" xfId="1" applyFont="1" applyFill="1" applyBorder="1" applyAlignment="1">
      <alignment horizontal="center" vertical="center" wrapText="1"/>
    </xf>
    <xf numFmtId="0" fontId="3" fillId="6" borderId="115" xfId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12" xfId="0" applyFont="1" applyBorder="1" applyAlignment="1">
      <alignment horizontal="center" vertical="center" wrapText="1"/>
    </xf>
    <xf numFmtId="0" fontId="5" fillId="0" borderId="120" xfId="0" applyFont="1" applyBorder="1" applyAlignment="1">
      <alignment horizontal="center" vertical="center" wrapText="1"/>
    </xf>
    <xf numFmtId="0" fontId="3" fillId="6" borderId="25" xfId="1" applyFont="1" applyFill="1" applyBorder="1" applyAlignment="1">
      <alignment horizontal="center" vertical="center"/>
    </xf>
    <xf numFmtId="0" fontId="3" fillId="6" borderId="115" xfId="1" applyFont="1" applyFill="1" applyBorder="1" applyAlignment="1">
      <alignment horizontal="center" vertical="center"/>
    </xf>
    <xf numFmtId="0" fontId="3" fillId="6" borderId="16" xfId="1" applyFont="1" applyFill="1" applyBorder="1" applyAlignment="1">
      <alignment horizontal="center" vertical="center"/>
    </xf>
    <xf numFmtId="0" fontId="3" fillId="6" borderId="108" xfId="1" applyFont="1" applyFill="1" applyBorder="1" applyAlignment="1">
      <alignment horizontal="center" vertical="center"/>
    </xf>
    <xf numFmtId="0" fontId="3" fillId="6" borderId="105" xfId="1" applyFont="1" applyFill="1" applyBorder="1" applyAlignment="1">
      <alignment horizontal="center" vertical="center"/>
    </xf>
    <xf numFmtId="0" fontId="3" fillId="6" borderId="109" xfId="1" applyFont="1" applyFill="1" applyBorder="1" applyAlignment="1">
      <alignment horizontal="center" vertical="center"/>
    </xf>
    <xf numFmtId="0" fontId="3" fillId="6" borderId="24" xfId="1" applyFont="1" applyFill="1" applyBorder="1" applyAlignment="1">
      <alignment horizontal="center" vertical="center"/>
    </xf>
    <xf numFmtId="0" fontId="3" fillId="6" borderId="44" xfId="1" applyFont="1" applyFill="1" applyBorder="1" applyAlignment="1">
      <alignment horizontal="center" vertical="center"/>
    </xf>
    <xf numFmtId="0" fontId="3" fillId="6" borderId="112" xfId="1" applyFont="1" applyFill="1" applyBorder="1" applyAlignment="1">
      <alignment horizontal="center" vertical="center"/>
    </xf>
    <xf numFmtId="0" fontId="3" fillId="6" borderId="120" xfId="1" applyFont="1" applyFill="1" applyBorder="1" applyAlignment="1">
      <alignment horizontal="center" vertical="center"/>
    </xf>
    <xf numFmtId="0" fontId="14" fillId="6" borderId="244" xfId="1" applyFont="1" applyFill="1" applyBorder="1" applyAlignment="1">
      <alignment horizontal="center" vertical="center"/>
    </xf>
    <xf numFmtId="0" fontId="14" fillId="6" borderId="243" xfId="1" applyFont="1" applyFill="1" applyBorder="1" applyAlignment="1">
      <alignment horizontal="center" vertical="center"/>
    </xf>
    <xf numFmtId="0" fontId="5" fillId="0" borderId="171" xfId="0" applyFont="1" applyBorder="1" applyAlignment="1">
      <alignment horizontal="center"/>
    </xf>
    <xf numFmtId="0" fontId="1" fillId="0" borderId="171" xfId="0" applyFont="1" applyBorder="1" applyAlignment="1">
      <alignment horizontal="center"/>
    </xf>
    <xf numFmtId="0" fontId="16" fillId="0" borderId="180" xfId="0" applyFont="1" applyBorder="1" applyAlignment="1">
      <alignment horizontal="center" vertical="center"/>
    </xf>
    <xf numFmtId="0" fontId="16" fillId="0" borderId="172" xfId="0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0" fillId="0" borderId="170" xfId="0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3" fontId="0" fillId="0" borderId="44" xfId="0" applyNumberFormat="1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43" fontId="0" fillId="0" borderId="170" xfId="2" applyFont="1" applyBorder="1" applyAlignment="1">
      <alignment horizontal="center" vertical="center" wrapText="1"/>
    </xf>
    <xf numFmtId="43" fontId="0" fillId="0" borderId="39" xfId="2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3" fontId="0" fillId="0" borderId="17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108" xfId="0" applyBorder="1" applyAlignment="1">
      <alignment horizontal="center" wrapText="1"/>
    </xf>
    <xf numFmtId="0" fontId="0" fillId="0" borderId="120" xfId="0" applyBorder="1" applyAlignment="1">
      <alignment horizontal="center" wrapText="1"/>
    </xf>
    <xf numFmtId="3" fontId="0" fillId="0" borderId="170" xfId="0" applyNumberFormat="1" applyBorder="1" applyAlignment="1">
      <alignment horizontal="center" vertical="center"/>
    </xf>
    <xf numFmtId="3" fontId="0" fillId="0" borderId="169" xfId="0" applyNumberFormat="1" applyBorder="1" applyAlignment="1">
      <alignment horizontal="center" vertical="center"/>
    </xf>
    <xf numFmtId="0" fontId="0" fillId="0" borderId="180" xfId="0" applyBorder="1" applyAlignment="1">
      <alignment horizontal="center"/>
    </xf>
    <xf numFmtId="0" fontId="0" fillId="0" borderId="172" xfId="0" applyBorder="1" applyAlignment="1">
      <alignment horizontal="center"/>
    </xf>
    <xf numFmtId="0" fontId="0" fillId="0" borderId="173" xfId="0" applyBorder="1" applyAlignment="1">
      <alignment horizontal="center"/>
    </xf>
    <xf numFmtId="0" fontId="23" fillId="2" borderId="41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23" fillId="2" borderId="111" xfId="0" applyFont="1" applyFill="1" applyBorder="1" applyAlignment="1">
      <alignment horizontal="center" vertical="center"/>
    </xf>
    <xf numFmtId="0" fontId="23" fillId="2" borderId="108" xfId="0" applyFont="1" applyFill="1" applyBorder="1" applyAlignment="1">
      <alignment horizontal="center" vertical="center"/>
    </xf>
    <xf numFmtId="0" fontId="23" fillId="2" borderId="115" xfId="0" applyFont="1" applyFill="1" applyBorder="1" applyAlignment="1">
      <alignment horizontal="center" vertical="center"/>
    </xf>
    <xf numFmtId="0" fontId="13" fillId="4" borderId="244" xfId="0" applyFont="1" applyFill="1" applyBorder="1" applyAlignment="1">
      <alignment horizontal="center" vertical="center"/>
    </xf>
    <xf numFmtId="0" fontId="13" fillId="4" borderId="130" xfId="0" applyFont="1" applyFill="1" applyBorder="1" applyAlignment="1">
      <alignment horizontal="center" vertical="center"/>
    </xf>
    <xf numFmtId="0" fontId="13" fillId="4" borderId="243" xfId="0" applyFont="1" applyFill="1" applyBorder="1" applyAlignment="1">
      <alignment horizontal="center" vertical="center"/>
    </xf>
    <xf numFmtId="2" fontId="2" fillId="0" borderId="8" xfId="2" applyNumberFormat="1" applyFont="1" applyBorder="1" applyAlignment="1">
      <alignment horizontal="center" vertical="center"/>
    </xf>
    <xf numFmtId="2" fontId="2" fillId="0" borderId="32" xfId="2" applyNumberFormat="1" applyFont="1" applyBorder="1" applyAlignment="1">
      <alignment horizontal="center" vertical="center"/>
    </xf>
    <xf numFmtId="2" fontId="2" fillId="0" borderId="33" xfId="2" applyNumberFormat="1" applyFont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32" xfId="1" applyFill="1" applyBorder="1" applyAlignment="1">
      <alignment horizontal="center" vertical="center"/>
    </xf>
    <xf numFmtId="0" fontId="2" fillId="2" borderId="33" xfId="1" applyFill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42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C25546E3-CB68-4CE6-8E11-CFC21BD03A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195584</xdr:colOff>
      <xdr:row>7</xdr:row>
      <xdr:rowOff>152400</xdr:rowOff>
    </xdr:from>
    <xdr:to>
      <xdr:col>8</xdr:col>
      <xdr:colOff>0</xdr:colOff>
      <xdr:row>10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B3466F-9BE6-47B1-ABEC-60B19FDA4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7034" y="2076450"/>
          <a:ext cx="2890516" cy="590550"/>
        </a:xfrm>
        <a:prstGeom prst="rect">
          <a:avLst/>
        </a:prstGeom>
      </xdr:spPr>
    </xdr:pic>
    <xdr:clientData/>
  </xdr:twoCellAnchor>
  <xdr:oneCellAnchor>
    <xdr:from>
      <xdr:col>5</xdr:col>
      <xdr:colOff>186059</xdr:colOff>
      <xdr:row>20</xdr:row>
      <xdr:rowOff>161925</xdr:rowOff>
    </xdr:from>
    <xdr:ext cx="2890516" cy="590550"/>
    <xdr:pic>
      <xdr:nvPicPr>
        <xdr:cNvPr id="3" name="Picture 2">
          <a:extLst>
            <a:ext uri="{FF2B5EF4-FFF2-40B4-BE49-F238E27FC236}">
              <a16:creationId xmlns:a16="http://schemas.microsoft.com/office/drawing/2014/main" id="{7EEC3A3E-83B9-419F-94D0-8244A0F9C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509" y="6181725"/>
          <a:ext cx="2890516" cy="590550"/>
        </a:xfrm>
        <a:prstGeom prst="rect">
          <a:avLst/>
        </a:prstGeom>
      </xdr:spPr>
    </xdr:pic>
    <xdr:clientData/>
  </xdr:oneCellAnchor>
  <xdr:oneCellAnchor>
    <xdr:from>
      <xdr:col>5</xdr:col>
      <xdr:colOff>186059</xdr:colOff>
      <xdr:row>33</xdr:row>
      <xdr:rowOff>161925</xdr:rowOff>
    </xdr:from>
    <xdr:ext cx="2890516" cy="590550"/>
    <xdr:pic>
      <xdr:nvPicPr>
        <xdr:cNvPr id="4" name="Picture 3">
          <a:extLst>
            <a:ext uri="{FF2B5EF4-FFF2-40B4-BE49-F238E27FC236}">
              <a16:creationId xmlns:a16="http://schemas.microsoft.com/office/drawing/2014/main" id="{F2C45573-217B-472C-8843-7C8E6AF22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509" y="5143500"/>
          <a:ext cx="2890516" cy="5905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857250</xdr:colOff>
      <xdr:row>20</xdr:row>
      <xdr:rowOff>0</xdr:rowOff>
    </xdr:from>
    <xdr:ext cx="2890516" cy="590550"/>
    <xdr:pic>
      <xdr:nvPicPr>
        <xdr:cNvPr id="2" name="Picture 1">
          <a:extLst>
            <a:ext uri="{FF2B5EF4-FFF2-40B4-BE49-F238E27FC236}">
              <a16:creationId xmlns:a16="http://schemas.microsoft.com/office/drawing/2014/main" id="{FCABF3E6-ED49-4565-9F1D-E088651CB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3724275"/>
          <a:ext cx="2890516" cy="5905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PROJECTS\19401\08-Exports\2024.05.14%20-%20Latest%20SoA\Old%20Town%20-%20SoA.xlsx" TargetMode="External"/><Relationship Id="rId1" Type="http://schemas.openxmlformats.org/officeDocument/2006/relationships/externalLinkPath" Target="/PROJECTS/19401/08-Exports/2024.05.14%20-%20Latest%20SoA/Old%20Town%20-%20So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ot By Plot SoA"/>
      <sheetName val="Single &amp; Multi Family (Filtere)"/>
      <sheetName val="Block By Block SoA"/>
      <sheetName val="14 - Affordable A"/>
      <sheetName val="23 - Affordable B"/>
      <sheetName val="35 - Affordable C"/>
      <sheetName val="55 - Affordable D"/>
      <sheetName val="74 - Affordable E "/>
    </sheetNames>
    <sheetDataSet>
      <sheetData sheetId="0">
        <row r="323">
          <cell r="B323" t="str">
            <v>Retail 1</v>
          </cell>
          <cell r="C323">
            <v>69.25</v>
          </cell>
        </row>
        <row r="324">
          <cell r="B324" t="str">
            <v>Retail 2</v>
          </cell>
          <cell r="C324">
            <v>104.35</v>
          </cell>
        </row>
        <row r="325">
          <cell r="B325" t="str">
            <v>Retail 3</v>
          </cell>
          <cell r="C325">
            <v>75</v>
          </cell>
        </row>
        <row r="326">
          <cell r="B326" t="str">
            <v>Retail 4</v>
          </cell>
          <cell r="C326">
            <v>47</v>
          </cell>
        </row>
        <row r="327">
          <cell r="B327" t="str">
            <v>Retail 5</v>
          </cell>
          <cell r="C327">
            <v>47</v>
          </cell>
        </row>
        <row r="328">
          <cell r="B328" t="str">
            <v>Concierge</v>
          </cell>
          <cell r="C328">
            <v>169.5</v>
          </cell>
        </row>
        <row r="348">
          <cell r="K348">
            <v>31144.806454999998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27DA-54B0-4513-9382-D6511A17A226}">
  <sheetPr>
    <pageSetUpPr fitToPage="1"/>
  </sheetPr>
  <dimension ref="A1:AF443"/>
  <sheetViews>
    <sheetView topLeftCell="B1" zoomScale="85" zoomScaleNormal="85" workbookViewId="0">
      <pane ySplit="1752" topLeftCell="A358" activePane="bottomLeft"/>
      <selection activeCell="L3" sqref="L3:P4"/>
      <selection pane="bottomLeft" activeCell="U370" sqref="U370"/>
    </sheetView>
  </sheetViews>
  <sheetFormatPr defaultColWidth="9.140625" defaultRowHeight="17.25" x14ac:dyDescent="0.35"/>
  <cols>
    <col min="1" max="1" width="16.7109375" style="2" customWidth="1"/>
    <col min="2" max="2" width="16.7109375" style="321" customWidth="1"/>
    <col min="3" max="3" width="15.140625" style="2" customWidth="1"/>
    <col min="4" max="5" width="18.42578125" style="2" customWidth="1"/>
    <col min="6" max="7" width="12.7109375" style="2" customWidth="1"/>
    <col min="8" max="8" width="13.140625" style="2" customWidth="1"/>
    <col min="9" max="10" width="12.140625" style="2" customWidth="1"/>
    <col min="11" max="11" width="18" style="30" bestFit="1" customWidth="1"/>
    <col min="12" max="12" width="11.28515625" style="2" customWidth="1"/>
    <col min="13" max="13" width="12.7109375" style="2" bestFit="1" customWidth="1"/>
    <col min="14" max="14" width="12.28515625" style="2" customWidth="1"/>
    <col min="15" max="15" width="10.5703125" style="2" bestFit="1" customWidth="1"/>
    <col min="16" max="17" width="9.140625" style="2"/>
    <col min="18" max="18" width="15.7109375" style="2" customWidth="1"/>
    <col min="19" max="22" width="9.140625" style="2"/>
    <col min="23" max="23" width="9.140625" style="2" customWidth="1"/>
    <col min="24" max="24" width="12" style="2" customWidth="1"/>
    <col min="25" max="25" width="11.85546875" style="2" customWidth="1"/>
    <col min="26" max="16384" width="9.140625" style="2"/>
  </cols>
  <sheetData>
    <row r="1" spans="1:32" ht="16.5" customHeight="1" x14ac:dyDescent="0.3">
      <c r="A1" s="702" t="s">
        <v>90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3"/>
    </row>
    <row r="2" spans="1:32" ht="17.25" customHeight="1" thickBot="1" x14ac:dyDescent="0.35">
      <c r="A2" s="704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5"/>
    </row>
    <row r="3" spans="1:32" ht="45.75" customHeight="1" x14ac:dyDescent="0.3">
      <c r="A3" s="708" t="s">
        <v>135</v>
      </c>
      <c r="B3" s="799" t="s">
        <v>134</v>
      </c>
      <c r="C3" s="710" t="s">
        <v>0</v>
      </c>
      <c r="D3" s="712" t="s">
        <v>4</v>
      </c>
      <c r="E3" s="24" t="s">
        <v>19</v>
      </c>
      <c r="F3" s="22" t="s">
        <v>16</v>
      </c>
      <c r="G3" s="22" t="s">
        <v>184</v>
      </c>
      <c r="H3" s="720" t="s">
        <v>75</v>
      </c>
      <c r="I3" s="720" t="s">
        <v>17</v>
      </c>
      <c r="J3" s="722" t="s">
        <v>18</v>
      </c>
      <c r="K3" s="718" t="s">
        <v>64</v>
      </c>
      <c r="L3" s="714" t="s">
        <v>2</v>
      </c>
      <c r="M3" s="714"/>
      <c r="N3" s="714"/>
      <c r="O3" s="714"/>
      <c r="P3" s="715"/>
      <c r="Q3" s="692" t="s">
        <v>173</v>
      </c>
      <c r="R3" s="692" t="s">
        <v>175</v>
      </c>
    </row>
    <row r="4" spans="1:32" ht="9" customHeight="1" thickBot="1" x14ac:dyDescent="0.35">
      <c r="A4" s="709"/>
      <c r="B4" s="800"/>
      <c r="C4" s="711"/>
      <c r="D4" s="713"/>
      <c r="E4" s="25"/>
      <c r="F4" s="23"/>
      <c r="G4" s="23"/>
      <c r="H4" s="721"/>
      <c r="I4" s="721"/>
      <c r="J4" s="723"/>
      <c r="K4" s="719"/>
      <c r="L4" s="716"/>
      <c r="M4" s="716"/>
      <c r="N4" s="716"/>
      <c r="O4" s="716"/>
      <c r="P4" s="717"/>
      <c r="Q4" s="693"/>
      <c r="R4" s="693"/>
    </row>
    <row r="5" spans="1:32" ht="18" thickTop="1" thickBot="1" x14ac:dyDescent="0.35">
      <c r="A5" s="330"/>
      <c r="B5" s="341"/>
      <c r="C5" s="330"/>
      <c r="D5" s="326"/>
      <c r="E5" s="326"/>
      <c r="F5" s="326"/>
      <c r="G5" s="326"/>
      <c r="H5" s="327"/>
      <c r="I5" s="327"/>
      <c r="J5" s="327"/>
      <c r="K5" s="331"/>
      <c r="L5" s="329">
        <v>1</v>
      </c>
      <c r="M5" s="328">
        <v>2</v>
      </c>
      <c r="N5" s="328">
        <v>3</v>
      </c>
      <c r="O5" s="328">
        <v>4</v>
      </c>
      <c r="P5" s="328">
        <v>5</v>
      </c>
      <c r="Q5" s="402"/>
      <c r="R5" s="402"/>
      <c r="U5" s="689" t="s">
        <v>53</v>
      </c>
      <c r="V5" s="690"/>
      <c r="W5" s="690"/>
      <c r="X5" s="690"/>
      <c r="Y5" s="690"/>
      <c r="Z5" s="690"/>
      <c r="AA5" s="691"/>
      <c r="AB5" s="427"/>
    </row>
    <row r="6" spans="1:32" x14ac:dyDescent="0.35">
      <c r="A6" s="815" t="s">
        <v>92</v>
      </c>
      <c r="B6" s="817" t="s">
        <v>128</v>
      </c>
      <c r="C6" s="332">
        <v>1</v>
      </c>
      <c r="D6" s="33">
        <v>65</v>
      </c>
      <c r="E6" s="34">
        <f t="shared" ref="E6:E24" si="0">SUM(D6*10.7639)</f>
        <v>699.65350000000001</v>
      </c>
      <c r="F6" s="325"/>
      <c r="G6" s="325"/>
      <c r="H6" s="312" t="s">
        <v>9</v>
      </c>
      <c r="I6" s="312"/>
      <c r="J6" s="313"/>
      <c r="K6" s="314" t="s">
        <v>66</v>
      </c>
      <c r="L6" s="315"/>
      <c r="M6" s="312" t="s">
        <v>9</v>
      </c>
      <c r="N6" s="312"/>
      <c r="O6" s="312"/>
      <c r="P6" s="316"/>
      <c r="Q6" s="393"/>
      <c r="R6" s="403" t="s">
        <v>176</v>
      </c>
      <c r="U6" s="190"/>
      <c r="V6" s="186" t="s">
        <v>63</v>
      </c>
      <c r="W6" s="430" t="s">
        <v>202</v>
      </c>
      <c r="X6" s="513" t="s">
        <v>83</v>
      </c>
      <c r="Y6" s="186" t="s">
        <v>58</v>
      </c>
      <c r="Z6" s="187" t="s">
        <v>59</v>
      </c>
      <c r="AA6" s="428" t="s">
        <v>55</v>
      </c>
      <c r="AC6" s="543" t="s">
        <v>261</v>
      </c>
      <c r="AE6" s="537" t="s">
        <v>262</v>
      </c>
      <c r="AF6" s="537" t="s">
        <v>59</v>
      </c>
    </row>
    <row r="7" spans="1:32" x14ac:dyDescent="0.35">
      <c r="A7" s="813"/>
      <c r="B7" s="747"/>
      <c r="C7" s="333">
        <v>2</v>
      </c>
      <c r="D7" s="28">
        <v>103</v>
      </c>
      <c r="E7" s="29">
        <f t="shared" si="0"/>
        <v>1108.6816999999999</v>
      </c>
      <c r="F7" s="306"/>
      <c r="G7" s="306"/>
      <c r="H7" s="306" t="s">
        <v>9</v>
      </c>
      <c r="I7" s="306"/>
      <c r="J7" s="307"/>
      <c r="K7" s="308" t="s">
        <v>66</v>
      </c>
      <c r="L7" s="309"/>
      <c r="M7" s="306"/>
      <c r="N7" s="306" t="s">
        <v>9</v>
      </c>
      <c r="O7" s="306"/>
      <c r="P7" s="310"/>
      <c r="Q7" s="391"/>
      <c r="R7" s="403" t="s">
        <v>176</v>
      </c>
      <c r="U7" s="180" t="s">
        <v>29</v>
      </c>
      <c r="V7" s="128" cm="1">
        <f t="array" ref="V7">SUM(IF((F6:F353="Y")*(L6:L353="Y"), 1, 0))</f>
        <v>0</v>
      </c>
      <c r="W7" s="128">
        <f>SUM(IF((G6:G353="Y")*(L6:L353="Y"), 1, 0))</f>
        <v>0</v>
      </c>
      <c r="X7" s="128" cm="1">
        <f t="array" ref="X7">SUM(IF((H6:H353="Y")*(L6:L353="Y"), 1, 0))</f>
        <v>19</v>
      </c>
      <c r="Y7" s="128" cm="1">
        <f t="array" ref="Y7">SUM(IF((I6:I353="Y")*(L6:L353="Y"), 1, 0))</f>
        <v>6</v>
      </c>
      <c r="Z7" s="93" cm="1">
        <f t="array" ref="Z7">SUM(IF((J6:J353="Y")*(L6:L353="Y"), 1, 0))</f>
        <v>114</v>
      </c>
      <c r="AA7" s="94">
        <f>SUM(V7:Z7)</f>
        <v>139</v>
      </c>
      <c r="AC7" s="535">
        <v>64</v>
      </c>
      <c r="AE7" s="537">
        <v>9</v>
      </c>
      <c r="AF7" s="537">
        <v>55</v>
      </c>
    </row>
    <row r="8" spans="1:32" x14ac:dyDescent="0.35">
      <c r="A8" s="813"/>
      <c r="B8" s="747"/>
      <c r="C8" s="333">
        <v>3</v>
      </c>
      <c r="D8" s="28">
        <v>83.5</v>
      </c>
      <c r="E8" s="29">
        <f t="shared" si="0"/>
        <v>898.78564999999992</v>
      </c>
      <c r="F8" s="306" t="s">
        <v>9</v>
      </c>
      <c r="G8" s="306"/>
      <c r="H8" s="306"/>
      <c r="I8" s="306"/>
      <c r="J8" s="307"/>
      <c r="K8" s="308" t="s">
        <v>67</v>
      </c>
      <c r="L8" s="309"/>
      <c r="M8" s="306" t="s">
        <v>9</v>
      </c>
      <c r="N8" s="306"/>
      <c r="O8" s="306"/>
      <c r="P8" s="310"/>
      <c r="Q8" s="391"/>
      <c r="R8" s="403" t="s">
        <v>176</v>
      </c>
      <c r="U8" s="180" t="s">
        <v>30</v>
      </c>
      <c r="V8" s="128" cm="1">
        <f t="array" ref="V8">SUM(IF((F6:F353="Y")*(M6:M353="Y"), 1, 0))</f>
        <v>44</v>
      </c>
      <c r="W8" s="128" cm="1">
        <f t="array" ref="W8">SUM(IF((G6:G353="Y")*(M6:M353="Y"), 1, 0))</f>
        <v>3</v>
      </c>
      <c r="X8" s="128" cm="1">
        <f t="array" ref="X8">SUM(IF((H6:H353="Y")*(M6:M353="Y"), 1, 0))</f>
        <v>23</v>
      </c>
      <c r="Y8" s="128" cm="1">
        <f t="array" ref="Y8">SUM(IF((I6:I353="Y")*(M6:M353="Y"), 1, 0))</f>
        <v>20</v>
      </c>
      <c r="Z8" s="93" cm="1">
        <f t="array" ref="Z8">SUM(IF((J6:J353="Y")*(M6:M353="Y"), 1, 0))</f>
        <v>6</v>
      </c>
      <c r="AA8" s="94">
        <f>SUM(V8:Z8)</f>
        <v>96</v>
      </c>
    </row>
    <row r="9" spans="1:32" x14ac:dyDescent="0.35">
      <c r="A9" s="813"/>
      <c r="B9" s="747"/>
      <c r="C9" s="333">
        <v>4</v>
      </c>
      <c r="D9" s="28">
        <v>97.7</v>
      </c>
      <c r="E9" s="29">
        <f t="shared" si="0"/>
        <v>1051.63303</v>
      </c>
      <c r="F9" s="306" t="s">
        <v>9</v>
      </c>
      <c r="G9" s="306"/>
      <c r="H9" s="306"/>
      <c r="I9" s="306"/>
      <c r="J9" s="307"/>
      <c r="K9" s="308" t="s">
        <v>67</v>
      </c>
      <c r="L9" s="309"/>
      <c r="M9" s="306" t="s">
        <v>9</v>
      </c>
      <c r="N9" s="306"/>
      <c r="O9" s="306"/>
      <c r="P9" s="310"/>
      <c r="Q9" s="391"/>
      <c r="R9" s="403" t="s">
        <v>176</v>
      </c>
      <c r="U9" s="180" t="s">
        <v>31</v>
      </c>
      <c r="V9" s="128" cm="1">
        <f t="array" ref="V9">SUM(IF((F6:F353="Y")*(N6:N353="Y"), 1, 0))</f>
        <v>47</v>
      </c>
      <c r="W9" s="128" cm="1">
        <f t="array" ref="W9">SUM(IF((G6:G353="Y")*(O6:O353="Y"), 1, 0))</f>
        <v>0</v>
      </c>
      <c r="X9" s="128" cm="1">
        <f t="array" ref="X9">SUM(IF((H6:H353="Y")*(N6:N353="Y"), 1, 0))</f>
        <v>18</v>
      </c>
      <c r="Y9" s="128" cm="1">
        <f t="array" ref="Y9">SUM(IF((I6:I353="Y")*(N6:N353="Y"), 1, 0))</f>
        <v>2</v>
      </c>
      <c r="Z9" s="93" cm="1">
        <f t="array" ref="Z9">SUM(IF((J6:J353="Y")*(N6:N353="Y"), 1, 0))</f>
        <v>2</v>
      </c>
      <c r="AA9" s="94">
        <f>SUM(V9:Z9)</f>
        <v>69</v>
      </c>
    </row>
    <row r="10" spans="1:32" ht="18" thickBot="1" x14ac:dyDescent="0.4">
      <c r="A10" s="813"/>
      <c r="B10" s="747"/>
      <c r="C10" s="333">
        <v>5</v>
      </c>
      <c r="D10" s="28">
        <v>70.2</v>
      </c>
      <c r="E10" s="29">
        <f t="shared" si="0"/>
        <v>755.62577999999996</v>
      </c>
      <c r="F10" s="306" t="s">
        <v>9</v>
      </c>
      <c r="G10" s="306"/>
      <c r="H10" s="306"/>
      <c r="I10" s="306"/>
      <c r="J10" s="307"/>
      <c r="K10" s="308" t="s">
        <v>67</v>
      </c>
      <c r="L10" s="309"/>
      <c r="M10" s="306" t="s">
        <v>9</v>
      </c>
      <c r="N10" s="306"/>
      <c r="O10" s="306"/>
      <c r="P10" s="310"/>
      <c r="Q10" s="392"/>
      <c r="R10" s="403" t="s">
        <v>176</v>
      </c>
      <c r="U10" s="190" t="s">
        <v>65</v>
      </c>
      <c r="V10" s="186" cm="1">
        <f t="array" ref="V10">SUM(IF((F6:F353="Y")*(O6:O353="Y"), 1, 0))</f>
        <v>13</v>
      </c>
      <c r="W10" s="186" cm="1">
        <f t="array" ref="W10">SUM(IF((G6:G353="Y")*(P6:P353="Y"), 1, 0))</f>
        <v>0</v>
      </c>
      <c r="X10" s="186" cm="1">
        <f t="array" ref="X10">SUM(IF((H6:H353="Y")*(O6:O353="Y"), 1, 0))</f>
        <v>0</v>
      </c>
      <c r="Y10" s="186" cm="1">
        <f t="array" ref="Y10">SUM(IF((I6:I353="Y")*(O6:O353="Y"), 1, 0))</f>
        <v>0</v>
      </c>
      <c r="Z10" s="186" cm="1">
        <f t="array" ref="Z10">SUM(IF((J6:J353="Y")*(O6:O353="Y"), 1, 0))</f>
        <v>0</v>
      </c>
      <c r="AA10" s="197">
        <f>SUM(V10:Z10)</f>
        <v>13</v>
      </c>
    </row>
    <row r="11" spans="1:32" ht="18" thickBot="1" x14ac:dyDescent="0.4">
      <c r="A11" s="813"/>
      <c r="B11" s="749" t="s">
        <v>45</v>
      </c>
      <c r="C11" s="333">
        <v>6</v>
      </c>
      <c r="D11" s="28">
        <v>100.6</v>
      </c>
      <c r="E11" s="29">
        <f t="shared" si="0"/>
        <v>1082.84834</v>
      </c>
      <c r="F11" s="306" t="s">
        <v>9</v>
      </c>
      <c r="G11" s="306"/>
      <c r="H11" s="306"/>
      <c r="I11" s="306"/>
      <c r="J11" s="307"/>
      <c r="K11" s="308" t="s">
        <v>169</v>
      </c>
      <c r="L11" s="309"/>
      <c r="M11" s="306"/>
      <c r="N11" s="306" t="s">
        <v>9</v>
      </c>
      <c r="O11" s="306"/>
      <c r="P11" s="310"/>
      <c r="Q11" s="393"/>
      <c r="R11" s="403" t="s">
        <v>176</v>
      </c>
      <c r="U11" s="181" t="s">
        <v>55</v>
      </c>
      <c r="V11" s="179">
        <f>SUM(V7:V10)</f>
        <v>104</v>
      </c>
      <c r="W11" s="473">
        <f>SUM(W8:W10)</f>
        <v>3</v>
      </c>
      <c r="X11" s="179">
        <f>SUM(X7:X10)</f>
        <v>60</v>
      </c>
      <c r="Y11" s="179">
        <f>SUM(Y7:Y10)</f>
        <v>28</v>
      </c>
      <c r="Z11" s="179">
        <f>SUM(Z7:Z10)</f>
        <v>122</v>
      </c>
      <c r="AA11" s="178">
        <f>SUM(V11:Z11)</f>
        <v>317</v>
      </c>
    </row>
    <row r="12" spans="1:32" ht="18" thickBot="1" x14ac:dyDescent="0.4">
      <c r="A12" s="813"/>
      <c r="B12" s="749"/>
      <c r="C12" s="333">
        <v>7</v>
      </c>
      <c r="D12" s="28">
        <v>79.8</v>
      </c>
      <c r="E12" s="29">
        <f t="shared" si="0"/>
        <v>858.95921999999996</v>
      </c>
      <c r="F12" s="306" t="s">
        <v>9</v>
      </c>
      <c r="G12" s="306"/>
      <c r="H12" s="306"/>
      <c r="I12" s="306"/>
      <c r="J12" s="307"/>
      <c r="K12" s="308" t="s">
        <v>169</v>
      </c>
      <c r="L12" s="309"/>
      <c r="M12" s="306" t="s">
        <v>9</v>
      </c>
      <c r="N12" s="306"/>
      <c r="O12" s="306"/>
      <c r="P12" s="310"/>
      <c r="Q12" s="391"/>
      <c r="R12" s="403" t="s">
        <v>176</v>
      </c>
    </row>
    <row r="13" spans="1:32" ht="18" thickBot="1" x14ac:dyDescent="0.4">
      <c r="A13" s="813"/>
      <c r="B13" s="749"/>
      <c r="C13" s="679">
        <v>8</v>
      </c>
      <c r="D13" s="638">
        <v>140.19999999999999</v>
      </c>
      <c r="E13" s="640">
        <f>SUM(D13*10.7639)</f>
        <v>1509.0987799999998</v>
      </c>
      <c r="F13" s="632" t="s">
        <v>9</v>
      </c>
      <c r="G13" s="630"/>
      <c r="H13" s="630"/>
      <c r="I13" s="630"/>
      <c r="J13" s="662"/>
      <c r="K13" s="308" t="s">
        <v>169</v>
      </c>
      <c r="L13" s="664"/>
      <c r="M13" s="630"/>
      <c r="N13" s="630"/>
      <c r="O13" s="632" t="s">
        <v>9</v>
      </c>
      <c r="P13" s="667"/>
      <c r="Q13" s="669"/>
      <c r="R13" s="646" t="s">
        <v>177</v>
      </c>
      <c r="U13" s="706" t="s">
        <v>71</v>
      </c>
      <c r="V13" s="707"/>
      <c r="W13" s="707"/>
      <c r="X13" s="659"/>
    </row>
    <row r="14" spans="1:32" x14ac:dyDescent="0.35">
      <c r="A14" s="813"/>
      <c r="B14" s="749"/>
      <c r="C14" s="680"/>
      <c r="D14" s="639"/>
      <c r="E14" s="641"/>
      <c r="F14" s="633"/>
      <c r="G14" s="631"/>
      <c r="H14" s="631"/>
      <c r="I14" s="631"/>
      <c r="J14" s="663"/>
      <c r="K14" s="308" t="s">
        <v>66</v>
      </c>
      <c r="L14" s="665"/>
      <c r="M14" s="631"/>
      <c r="N14" s="631"/>
      <c r="O14" s="633"/>
      <c r="P14" s="668"/>
      <c r="Q14" s="670"/>
      <c r="R14" s="666"/>
      <c r="U14" s="694" t="s">
        <v>73</v>
      </c>
      <c r="V14" s="695"/>
      <c r="W14" s="696" t="s">
        <v>72</v>
      </c>
      <c r="X14" s="697"/>
    </row>
    <row r="15" spans="1:32" x14ac:dyDescent="0.35">
      <c r="A15" s="813"/>
      <c r="B15" s="749"/>
      <c r="C15" s="333">
        <v>9</v>
      </c>
      <c r="D15" s="28">
        <v>85</v>
      </c>
      <c r="E15" s="29">
        <f t="shared" si="0"/>
        <v>914.93149999999991</v>
      </c>
      <c r="F15" s="306"/>
      <c r="G15" s="306"/>
      <c r="H15" s="306" t="s">
        <v>9</v>
      </c>
      <c r="I15" s="306"/>
      <c r="J15" s="307"/>
      <c r="K15" s="308" t="s">
        <v>66</v>
      </c>
      <c r="L15" s="309"/>
      <c r="M15" s="306" t="s">
        <v>9</v>
      </c>
      <c r="N15" s="306"/>
      <c r="O15" s="306"/>
      <c r="P15" s="310"/>
      <c r="Q15" s="391"/>
      <c r="R15" s="403" t="s">
        <v>176</v>
      </c>
      <c r="U15" s="698" t="s">
        <v>169</v>
      </c>
      <c r="V15" s="699"/>
      <c r="W15" s="700">
        <f>COUNTIF(K5:K352,"Private Front Garden")</f>
        <v>34</v>
      </c>
      <c r="X15" s="701"/>
    </row>
    <row r="16" spans="1:32" x14ac:dyDescent="0.35">
      <c r="A16" s="813"/>
      <c r="B16" s="749"/>
      <c r="C16" s="333">
        <v>10</v>
      </c>
      <c r="D16" s="28">
        <v>54.5</v>
      </c>
      <c r="E16" s="29">
        <f t="shared" si="0"/>
        <v>586.63254999999992</v>
      </c>
      <c r="F16" s="306"/>
      <c r="G16" s="306"/>
      <c r="H16" s="306" t="s">
        <v>9</v>
      </c>
      <c r="I16" s="306"/>
      <c r="J16" s="307"/>
      <c r="K16" s="308" t="s">
        <v>66</v>
      </c>
      <c r="L16" s="309" t="s">
        <v>9</v>
      </c>
      <c r="M16" s="306"/>
      <c r="N16" s="306"/>
      <c r="O16" s="306"/>
      <c r="P16" s="310"/>
      <c r="Q16" s="393"/>
      <c r="R16" s="403" t="s">
        <v>176</v>
      </c>
      <c r="U16" s="681" t="s">
        <v>170</v>
      </c>
      <c r="V16" s="682"/>
      <c r="W16" s="648">
        <f>COUNTIF(K6:K353,"Private Rear Garden")</f>
        <v>9</v>
      </c>
      <c r="X16" s="649"/>
    </row>
    <row r="17" spans="1:25" x14ac:dyDescent="0.35">
      <c r="A17" s="813"/>
      <c r="B17" s="749"/>
      <c r="C17" s="333">
        <v>11</v>
      </c>
      <c r="D17" s="28">
        <v>86.1</v>
      </c>
      <c r="E17" s="29">
        <f t="shared" si="0"/>
        <v>926.7717899999999</v>
      </c>
      <c r="F17" s="306"/>
      <c r="G17" s="306"/>
      <c r="H17" s="306" t="s">
        <v>9</v>
      </c>
      <c r="I17" s="306"/>
      <c r="J17" s="307"/>
      <c r="K17" s="308" t="s">
        <v>66</v>
      </c>
      <c r="L17" s="309"/>
      <c r="M17" s="306" t="s">
        <v>9</v>
      </c>
      <c r="N17" s="306"/>
      <c r="O17" s="306"/>
      <c r="P17" s="310"/>
      <c r="Q17" s="391"/>
      <c r="R17" s="403" t="s">
        <v>176</v>
      </c>
      <c r="U17" s="650" t="s">
        <v>70</v>
      </c>
      <c r="V17" s="651"/>
      <c r="W17" s="648">
        <f>COUNTIF(K6:K353,"Shared Garden")</f>
        <v>12</v>
      </c>
      <c r="X17" s="649"/>
    </row>
    <row r="18" spans="1:25" x14ac:dyDescent="0.35">
      <c r="A18" s="813"/>
      <c r="B18" s="749"/>
      <c r="C18" s="333">
        <v>12</v>
      </c>
      <c r="D18" s="28">
        <v>71.5</v>
      </c>
      <c r="E18" s="29">
        <f t="shared" si="0"/>
        <v>769.61884999999995</v>
      </c>
      <c r="F18" s="306" t="s">
        <v>9</v>
      </c>
      <c r="G18" s="306"/>
      <c r="H18" s="306"/>
      <c r="I18" s="306"/>
      <c r="J18" s="307"/>
      <c r="K18" s="308" t="s">
        <v>67</v>
      </c>
      <c r="L18" s="309"/>
      <c r="M18" s="306" t="s">
        <v>9</v>
      </c>
      <c r="N18" s="306"/>
      <c r="O18" s="306"/>
      <c r="P18" s="310"/>
      <c r="Q18" s="391"/>
      <c r="R18" s="403" t="s">
        <v>176</v>
      </c>
      <c r="U18" s="650" t="s">
        <v>66</v>
      </c>
      <c r="V18" s="651"/>
      <c r="W18" s="648">
        <f>COUNTIF(K6:K353,"Roof Terrace")</f>
        <v>61</v>
      </c>
      <c r="X18" s="649"/>
    </row>
    <row r="19" spans="1:25" x14ac:dyDescent="0.35">
      <c r="A19" s="813"/>
      <c r="B19" s="749"/>
      <c r="C19" s="333">
        <v>13</v>
      </c>
      <c r="D19" s="28">
        <v>105.8</v>
      </c>
      <c r="E19" s="29">
        <f t="shared" si="0"/>
        <v>1138.82062</v>
      </c>
      <c r="F19" s="306" t="s">
        <v>9</v>
      </c>
      <c r="G19" s="306"/>
      <c r="H19" s="306"/>
      <c r="I19" s="306"/>
      <c r="J19" s="307"/>
      <c r="K19" s="308" t="s">
        <v>66</v>
      </c>
      <c r="L19" s="309"/>
      <c r="M19" s="306"/>
      <c r="N19" s="306" t="s">
        <v>9</v>
      </c>
      <c r="O19" s="306"/>
      <c r="P19" s="310"/>
      <c r="Q19" s="391"/>
      <c r="R19" s="404" t="s">
        <v>177</v>
      </c>
      <c r="U19" s="681" t="s">
        <v>185</v>
      </c>
      <c r="V19" s="682"/>
      <c r="W19" s="648">
        <f>COUNTIF(K6:K353,"Shared Roof Terrace")</f>
        <v>2</v>
      </c>
      <c r="X19" s="649"/>
    </row>
    <row r="20" spans="1:25" x14ac:dyDescent="0.35">
      <c r="A20" s="813"/>
      <c r="B20" s="749"/>
      <c r="C20" s="333">
        <v>14</v>
      </c>
      <c r="D20" s="28">
        <v>70.599999999999994</v>
      </c>
      <c r="E20" s="29">
        <f t="shared" si="0"/>
        <v>759.93133999999986</v>
      </c>
      <c r="F20" s="306" t="s">
        <v>9</v>
      </c>
      <c r="G20" s="306"/>
      <c r="H20" s="306"/>
      <c r="I20" s="306"/>
      <c r="J20" s="307"/>
      <c r="K20" s="308" t="s">
        <v>169</v>
      </c>
      <c r="L20" s="309"/>
      <c r="M20" s="306" t="s">
        <v>9</v>
      </c>
      <c r="N20" s="306"/>
      <c r="O20" s="306"/>
      <c r="P20" s="310"/>
      <c r="Q20" s="391"/>
      <c r="R20" s="403" t="s">
        <v>176</v>
      </c>
      <c r="U20" s="650" t="s">
        <v>69</v>
      </c>
      <c r="V20" s="651"/>
      <c r="W20" s="648">
        <f>COUNTIF(K6:K353,"Balcony")</f>
        <v>64</v>
      </c>
      <c r="X20" s="649"/>
    </row>
    <row r="21" spans="1:25" x14ac:dyDescent="0.35">
      <c r="A21" s="813"/>
      <c r="B21" s="749" t="s">
        <v>128</v>
      </c>
      <c r="C21" s="333">
        <v>15</v>
      </c>
      <c r="D21" s="28">
        <v>99.3</v>
      </c>
      <c r="E21" s="29">
        <f t="shared" si="0"/>
        <v>1068.85527</v>
      </c>
      <c r="F21" s="306" t="s">
        <v>9</v>
      </c>
      <c r="G21" s="306"/>
      <c r="H21" s="306"/>
      <c r="I21" s="306"/>
      <c r="J21" s="307"/>
      <c r="K21" s="308" t="s">
        <v>169</v>
      </c>
      <c r="L21" s="309"/>
      <c r="M21" s="306"/>
      <c r="N21" s="306" t="s">
        <v>9</v>
      </c>
      <c r="O21" s="306"/>
      <c r="P21" s="310"/>
      <c r="Q21" s="391" t="s">
        <v>9</v>
      </c>
      <c r="R21" s="403" t="s">
        <v>176</v>
      </c>
      <c r="U21" s="650" t="s">
        <v>67</v>
      </c>
      <c r="V21" s="651"/>
      <c r="W21" s="648">
        <f>COUNTIF(K6:K353,"Frontage Amenity")</f>
        <v>36</v>
      </c>
      <c r="X21" s="649"/>
    </row>
    <row r="22" spans="1:25" x14ac:dyDescent="0.35">
      <c r="A22" s="813"/>
      <c r="B22" s="749"/>
      <c r="C22" s="333">
        <v>16</v>
      </c>
      <c r="D22" s="28">
        <v>83.1</v>
      </c>
      <c r="E22" s="29">
        <f t="shared" si="0"/>
        <v>894.4800899999999</v>
      </c>
      <c r="F22" s="306" t="s">
        <v>9</v>
      </c>
      <c r="G22" s="306"/>
      <c r="H22" s="306"/>
      <c r="I22" s="306"/>
      <c r="J22" s="307"/>
      <c r="K22" s="308" t="s">
        <v>66</v>
      </c>
      <c r="L22" s="309"/>
      <c r="M22" s="306" t="s">
        <v>9</v>
      </c>
      <c r="N22" s="306"/>
      <c r="O22" s="306"/>
      <c r="P22" s="310"/>
      <c r="Q22" s="392" t="s">
        <v>9</v>
      </c>
      <c r="R22" s="404" t="s">
        <v>177</v>
      </c>
      <c r="T22" s="344"/>
      <c r="U22" s="681" t="s">
        <v>224</v>
      </c>
      <c r="V22" s="682"/>
      <c r="W22" s="685">
        <f>COUNTIF(K6:K353,"Side Amenity")</f>
        <v>3</v>
      </c>
      <c r="X22" s="686"/>
      <c r="Y22" s="427"/>
    </row>
    <row r="23" spans="1:25" x14ac:dyDescent="0.35">
      <c r="A23" s="813"/>
      <c r="B23" s="749"/>
      <c r="C23" s="333">
        <v>17</v>
      </c>
      <c r="D23" s="28">
        <v>83.1</v>
      </c>
      <c r="E23" s="29">
        <f t="shared" si="0"/>
        <v>894.4800899999999</v>
      </c>
      <c r="F23" s="306" t="s">
        <v>9</v>
      </c>
      <c r="G23" s="306"/>
      <c r="H23" s="306"/>
      <c r="I23" s="306"/>
      <c r="J23" s="307"/>
      <c r="K23" s="308" t="s">
        <v>66</v>
      </c>
      <c r="L23" s="309"/>
      <c r="M23" s="306" t="s">
        <v>9</v>
      </c>
      <c r="N23" s="306"/>
      <c r="O23" s="306"/>
      <c r="P23" s="310"/>
      <c r="Q23" s="393" t="s">
        <v>9</v>
      </c>
      <c r="R23" s="404" t="s">
        <v>177</v>
      </c>
      <c r="T23" s="344"/>
      <c r="U23" s="681" t="s">
        <v>225</v>
      </c>
      <c r="V23" s="682"/>
      <c r="W23" s="685">
        <f>COUNTIF(K6:K353,"Shared Amenity")</f>
        <v>4</v>
      </c>
      <c r="X23" s="686"/>
    </row>
    <row r="24" spans="1:25" ht="18" thickBot="1" x14ac:dyDescent="0.4">
      <c r="A24" s="813"/>
      <c r="B24" s="749"/>
      <c r="C24" s="333">
        <v>18</v>
      </c>
      <c r="D24" s="28">
        <v>65.599999999999994</v>
      </c>
      <c r="E24" s="29">
        <f t="shared" si="0"/>
        <v>706.11183999999992</v>
      </c>
      <c r="F24" s="306"/>
      <c r="G24" s="306"/>
      <c r="H24" s="306" t="s">
        <v>9</v>
      </c>
      <c r="I24" s="306"/>
      <c r="J24" s="307"/>
      <c r="K24" s="308" t="s">
        <v>68</v>
      </c>
      <c r="L24" s="309"/>
      <c r="M24" s="306" t="s">
        <v>9</v>
      </c>
      <c r="N24" s="306"/>
      <c r="O24" s="306"/>
      <c r="P24" s="310"/>
      <c r="Q24" s="391"/>
      <c r="R24" s="403" t="s">
        <v>176</v>
      </c>
      <c r="U24" s="683" t="s">
        <v>68</v>
      </c>
      <c r="V24" s="684"/>
      <c r="W24" s="687">
        <f>COUNTIF(K6:K353,"Community Amenity")</f>
        <v>123</v>
      </c>
      <c r="X24" s="688"/>
    </row>
    <row r="25" spans="1:25" ht="18" thickBot="1" x14ac:dyDescent="0.4">
      <c r="A25" s="813"/>
      <c r="B25" s="749"/>
      <c r="C25" s="333">
        <v>19</v>
      </c>
      <c r="D25" s="28">
        <v>83.7</v>
      </c>
      <c r="E25" s="29">
        <f t="shared" ref="E25:E32" si="1">SUM(D25*10.7639)</f>
        <v>900.93843000000004</v>
      </c>
      <c r="F25" s="306"/>
      <c r="G25" s="306"/>
      <c r="H25" s="306" t="s">
        <v>9</v>
      </c>
      <c r="I25" s="306"/>
      <c r="J25" s="307"/>
      <c r="K25" s="308" t="s">
        <v>66</v>
      </c>
      <c r="L25" s="309"/>
      <c r="M25" s="306" t="s">
        <v>9</v>
      </c>
      <c r="N25" s="306"/>
      <c r="P25" s="310"/>
      <c r="Q25" s="393"/>
      <c r="R25" s="403" t="s">
        <v>176</v>
      </c>
      <c r="T25" s="344"/>
      <c r="U25" s="653" t="s">
        <v>55</v>
      </c>
      <c r="V25" s="654"/>
      <c r="W25" s="655">
        <f>SUM(W13:W24)</f>
        <v>348</v>
      </c>
      <c r="X25" s="656"/>
      <c r="Y25" s="427"/>
    </row>
    <row r="26" spans="1:25" ht="18" thickBot="1" x14ac:dyDescent="0.4">
      <c r="A26" s="813"/>
      <c r="B26" s="749"/>
      <c r="C26" s="333">
        <v>20</v>
      </c>
      <c r="D26" s="28">
        <v>59.6</v>
      </c>
      <c r="E26" s="29">
        <f t="shared" si="1"/>
        <v>641.52844000000005</v>
      </c>
      <c r="F26" s="306"/>
      <c r="G26" s="306"/>
      <c r="H26" s="306" t="s">
        <v>9</v>
      </c>
      <c r="I26" s="306"/>
      <c r="J26" s="307"/>
      <c r="K26" s="308" t="s">
        <v>66</v>
      </c>
      <c r="L26" s="309" t="s">
        <v>9</v>
      </c>
      <c r="M26" s="306"/>
      <c r="N26" s="306"/>
      <c r="O26" s="306"/>
      <c r="P26" s="310"/>
      <c r="Q26" s="391"/>
      <c r="R26" s="403" t="s">
        <v>176</v>
      </c>
    </row>
    <row r="27" spans="1:25" ht="18" thickBot="1" x14ac:dyDescent="0.4">
      <c r="A27" s="813"/>
      <c r="B27" s="749"/>
      <c r="C27" s="333">
        <v>21</v>
      </c>
      <c r="D27" s="28">
        <v>83.6</v>
      </c>
      <c r="E27" s="29">
        <f t="shared" si="1"/>
        <v>899.86203999999987</v>
      </c>
      <c r="F27" s="306" t="s">
        <v>9</v>
      </c>
      <c r="G27" s="306"/>
      <c r="H27" s="306"/>
      <c r="I27" s="306"/>
      <c r="J27" s="307"/>
      <c r="K27" s="308" t="s">
        <v>66</v>
      </c>
      <c r="L27" s="309"/>
      <c r="M27" s="306" t="s">
        <v>9</v>
      </c>
      <c r="N27" s="306"/>
      <c r="O27" s="306"/>
      <c r="P27" s="310"/>
      <c r="Q27" s="391" t="s">
        <v>9</v>
      </c>
      <c r="R27" s="404" t="s">
        <v>177</v>
      </c>
      <c r="U27" s="653" t="s">
        <v>180</v>
      </c>
      <c r="V27" s="730"/>
      <c r="W27" s="730"/>
      <c r="X27" s="656"/>
    </row>
    <row r="28" spans="1:25" x14ac:dyDescent="0.35">
      <c r="A28" s="813"/>
      <c r="B28" s="749"/>
      <c r="C28" s="333">
        <v>22</v>
      </c>
      <c r="D28" s="28">
        <v>83.6</v>
      </c>
      <c r="E28" s="29">
        <f t="shared" si="1"/>
        <v>899.86203999999987</v>
      </c>
      <c r="F28" s="306" t="s">
        <v>9</v>
      </c>
      <c r="G28" s="306"/>
      <c r="H28" s="306"/>
      <c r="I28" s="306"/>
      <c r="J28" s="307"/>
      <c r="K28" s="308" t="s">
        <v>66</v>
      </c>
      <c r="L28" s="309"/>
      <c r="M28" s="306" t="s">
        <v>9</v>
      </c>
      <c r="N28" s="306"/>
      <c r="O28" s="306"/>
      <c r="P28" s="310"/>
      <c r="Q28" s="391" t="s">
        <v>9</v>
      </c>
      <c r="R28" s="404" t="s">
        <v>177</v>
      </c>
      <c r="U28" s="724" t="s">
        <v>179</v>
      </c>
      <c r="V28" s="725"/>
      <c r="W28" s="696" t="s">
        <v>72</v>
      </c>
      <c r="X28" s="697"/>
    </row>
    <row r="29" spans="1:25" x14ac:dyDescent="0.35">
      <c r="A29" s="813"/>
      <c r="B29" s="749"/>
      <c r="C29" s="333">
        <v>23</v>
      </c>
      <c r="D29" s="28">
        <v>87.2</v>
      </c>
      <c r="E29" s="29">
        <f t="shared" si="1"/>
        <v>938.61207999999999</v>
      </c>
      <c r="F29" s="306" t="s">
        <v>9</v>
      </c>
      <c r="G29" s="306"/>
      <c r="H29" s="306"/>
      <c r="I29" s="306"/>
      <c r="J29" s="307"/>
      <c r="K29" s="308" t="s">
        <v>169</v>
      </c>
      <c r="L29" s="309"/>
      <c r="M29" s="306"/>
      <c r="N29" s="306" t="s">
        <v>9</v>
      </c>
      <c r="O29" s="306"/>
      <c r="P29" s="310"/>
      <c r="Q29" s="391"/>
      <c r="R29" s="403" t="s">
        <v>176</v>
      </c>
      <c r="U29" s="698" t="s">
        <v>174</v>
      </c>
      <c r="V29" s="699"/>
      <c r="W29" s="700">
        <f>COUNTIF(R6:R363,"Single Storey")</f>
        <v>135</v>
      </c>
      <c r="X29" s="701"/>
    </row>
    <row r="30" spans="1:25" x14ac:dyDescent="0.35">
      <c r="A30" s="813"/>
      <c r="B30" s="749"/>
      <c r="C30" s="679">
        <v>24</v>
      </c>
      <c r="D30" s="638">
        <v>159</v>
      </c>
      <c r="E30" s="640">
        <f t="shared" si="1"/>
        <v>1711.4601</v>
      </c>
      <c r="F30" s="632" t="s">
        <v>9</v>
      </c>
      <c r="G30" s="630"/>
      <c r="H30" s="630"/>
      <c r="I30" s="630"/>
      <c r="J30" s="662"/>
      <c r="K30" s="308" t="s">
        <v>66</v>
      </c>
      <c r="L30" s="664"/>
      <c r="M30" s="630"/>
      <c r="N30" s="630"/>
      <c r="O30" s="632" t="s">
        <v>9</v>
      </c>
      <c r="P30" s="642"/>
      <c r="Q30" s="644" t="s">
        <v>9</v>
      </c>
      <c r="R30" s="646" t="s">
        <v>177</v>
      </c>
      <c r="U30" s="681" t="s">
        <v>176</v>
      </c>
      <c r="V30" s="682"/>
      <c r="W30" s="648">
        <f>COUNTIF(R6:R363,"Two Storey's")</f>
        <v>99</v>
      </c>
      <c r="X30" s="649"/>
    </row>
    <row r="31" spans="1:25" x14ac:dyDescent="0.35">
      <c r="A31" s="813"/>
      <c r="B31" s="749"/>
      <c r="C31" s="680"/>
      <c r="D31" s="639"/>
      <c r="E31" s="641"/>
      <c r="F31" s="633"/>
      <c r="G31" s="631"/>
      <c r="H31" s="631"/>
      <c r="I31" s="631"/>
      <c r="J31" s="663"/>
      <c r="K31" s="308" t="s">
        <v>169</v>
      </c>
      <c r="L31" s="665"/>
      <c r="M31" s="631"/>
      <c r="N31" s="631"/>
      <c r="O31" s="633"/>
      <c r="P31" s="643"/>
      <c r="Q31" s="645"/>
      <c r="R31" s="666"/>
      <c r="U31" s="650" t="s">
        <v>177</v>
      </c>
      <c r="V31" s="651"/>
      <c r="W31" s="648">
        <f>COUNTIF(R6:R363,"Three Storey's")</f>
        <v>77</v>
      </c>
      <c r="X31" s="649"/>
    </row>
    <row r="32" spans="1:25" ht="18" thickBot="1" x14ac:dyDescent="0.4">
      <c r="A32" s="813"/>
      <c r="B32" s="749"/>
      <c r="C32" s="333">
        <v>25</v>
      </c>
      <c r="D32" s="28">
        <v>71.5</v>
      </c>
      <c r="E32" s="29">
        <f t="shared" si="1"/>
        <v>769.61884999999995</v>
      </c>
      <c r="F32" s="306" t="s">
        <v>9</v>
      </c>
      <c r="G32" s="306"/>
      <c r="H32" s="306"/>
      <c r="I32" s="306"/>
      <c r="J32" s="307"/>
      <c r="K32" s="308" t="s">
        <v>68</v>
      </c>
      <c r="L32" s="309"/>
      <c r="M32" s="306" t="s">
        <v>9</v>
      </c>
      <c r="N32" s="306"/>
      <c r="O32" s="306"/>
      <c r="P32" s="310"/>
      <c r="Q32" s="393"/>
      <c r="R32" s="403" t="s">
        <v>176</v>
      </c>
      <c r="U32" s="683" t="s">
        <v>178</v>
      </c>
      <c r="V32" s="684"/>
      <c r="W32" s="687">
        <f>COUNTIF(R6:R363,"Four Storey's")</f>
        <v>6</v>
      </c>
      <c r="X32" s="688"/>
    </row>
    <row r="33" spans="1:24" ht="18" thickBot="1" x14ac:dyDescent="0.4">
      <c r="A33" s="813"/>
      <c r="B33" s="749" t="s">
        <v>21</v>
      </c>
      <c r="C33" s="333">
        <v>26</v>
      </c>
      <c r="D33" s="28">
        <v>77.599999999999994</v>
      </c>
      <c r="E33" s="29">
        <f t="shared" ref="E33:E55" si="2">SUM(D33*10.7639)</f>
        <v>835.27863999999988</v>
      </c>
      <c r="F33" s="306"/>
      <c r="G33" s="306"/>
      <c r="H33" s="306" t="s">
        <v>9</v>
      </c>
      <c r="I33" s="306"/>
      <c r="J33" s="307"/>
      <c r="K33" s="308" t="s">
        <v>66</v>
      </c>
      <c r="L33" s="309"/>
      <c r="M33" s="306" t="s">
        <v>9</v>
      </c>
      <c r="N33" s="306"/>
      <c r="O33" s="306"/>
      <c r="P33" s="310"/>
      <c r="Q33" s="391"/>
      <c r="R33" s="403" t="s">
        <v>176</v>
      </c>
      <c r="T33" s="344"/>
      <c r="U33" s="653" t="s">
        <v>55</v>
      </c>
      <c r="V33" s="657"/>
      <c r="W33" s="658">
        <f>SUM(W29:W32)</f>
        <v>317</v>
      </c>
      <c r="X33" s="659"/>
    </row>
    <row r="34" spans="1:24" x14ac:dyDescent="0.35">
      <c r="A34" s="813"/>
      <c r="B34" s="749"/>
      <c r="C34" s="333">
        <v>27</v>
      </c>
      <c r="D34" s="28">
        <v>77.2</v>
      </c>
      <c r="E34" s="29">
        <f t="shared" si="2"/>
        <v>830.97307999999998</v>
      </c>
      <c r="F34" s="306"/>
      <c r="G34" s="306"/>
      <c r="H34" s="306" t="s">
        <v>9</v>
      </c>
      <c r="I34" s="306"/>
      <c r="J34" s="307"/>
      <c r="K34" s="308" t="s">
        <v>66</v>
      </c>
      <c r="L34" s="309"/>
      <c r="M34" s="306" t="s">
        <v>9</v>
      </c>
      <c r="N34" s="306"/>
      <c r="O34" s="306"/>
      <c r="P34" s="310"/>
      <c r="Q34" s="391"/>
      <c r="R34" s="403" t="s">
        <v>176</v>
      </c>
    </row>
    <row r="35" spans="1:24" x14ac:dyDescent="0.35">
      <c r="A35" s="813"/>
      <c r="B35" s="749"/>
      <c r="C35" s="333">
        <v>28</v>
      </c>
      <c r="D35" s="28">
        <v>97.1</v>
      </c>
      <c r="E35" s="29">
        <f t="shared" si="2"/>
        <v>1045.1746899999998</v>
      </c>
      <c r="F35" s="306" t="s">
        <v>9</v>
      </c>
      <c r="G35" s="306"/>
      <c r="H35" s="306"/>
      <c r="I35" s="306"/>
      <c r="J35" s="307"/>
      <c r="K35" s="308" t="s">
        <v>68</v>
      </c>
      <c r="L35" s="309"/>
      <c r="M35" s="306"/>
      <c r="N35" s="306" t="s">
        <v>9</v>
      </c>
      <c r="O35" s="306"/>
      <c r="P35" s="310"/>
      <c r="Q35" s="391"/>
      <c r="R35" s="403" t="s">
        <v>176</v>
      </c>
      <c r="T35" s="2" t="s">
        <v>186</v>
      </c>
    </row>
    <row r="36" spans="1:24" x14ac:dyDescent="0.35">
      <c r="A36" s="813"/>
      <c r="B36" s="749"/>
      <c r="C36" s="333">
        <v>29</v>
      </c>
      <c r="D36" s="28">
        <v>94.7</v>
      </c>
      <c r="E36" s="29">
        <f t="shared" si="2"/>
        <v>1019.34133</v>
      </c>
      <c r="F36" s="306" t="s">
        <v>9</v>
      </c>
      <c r="G36" s="306"/>
      <c r="H36" s="306"/>
      <c r="I36" s="306"/>
      <c r="J36" s="307"/>
      <c r="K36" s="308" t="s">
        <v>66</v>
      </c>
      <c r="L36" s="309"/>
      <c r="M36" s="306"/>
      <c r="N36" s="306" t="s">
        <v>9</v>
      </c>
      <c r="O36" s="306"/>
      <c r="P36" s="310"/>
      <c r="Q36" s="391"/>
      <c r="R36" s="404" t="s">
        <v>177</v>
      </c>
      <c r="U36" s="2" t="s">
        <v>190</v>
      </c>
    </row>
    <row r="37" spans="1:24" x14ac:dyDescent="0.35">
      <c r="A37" s="813"/>
      <c r="B37" s="749"/>
      <c r="C37" s="333">
        <v>30</v>
      </c>
      <c r="D37" s="28">
        <v>94.3</v>
      </c>
      <c r="E37" s="29">
        <f t="shared" si="2"/>
        <v>1015.03577</v>
      </c>
      <c r="F37" s="306" t="s">
        <v>9</v>
      </c>
      <c r="G37" s="306"/>
      <c r="H37" s="306"/>
      <c r="I37" s="306"/>
      <c r="J37" s="307"/>
      <c r="K37" s="308" t="s">
        <v>66</v>
      </c>
      <c r="L37" s="309"/>
      <c r="M37" s="306"/>
      <c r="N37" s="306" t="s">
        <v>9</v>
      </c>
      <c r="O37" s="306"/>
      <c r="P37" s="310"/>
      <c r="Q37" s="392"/>
      <c r="R37" s="404" t="s">
        <v>177</v>
      </c>
      <c r="U37" s="2" t="s">
        <v>189</v>
      </c>
    </row>
    <row r="38" spans="1:24" x14ac:dyDescent="0.35">
      <c r="A38" s="813"/>
      <c r="B38" s="749"/>
      <c r="C38" s="333">
        <v>31</v>
      </c>
      <c r="D38" s="28">
        <v>107.5</v>
      </c>
      <c r="E38" s="29">
        <f t="shared" si="2"/>
        <v>1157.11925</v>
      </c>
      <c r="F38" s="306"/>
      <c r="G38" s="306"/>
      <c r="H38" s="306" t="s">
        <v>9</v>
      </c>
      <c r="I38" s="306"/>
      <c r="J38" s="307"/>
      <c r="K38" s="308" t="s">
        <v>69</v>
      </c>
      <c r="L38" s="309"/>
      <c r="M38" s="306"/>
      <c r="N38" s="306" t="s">
        <v>9</v>
      </c>
      <c r="O38" s="306"/>
      <c r="P38" s="310"/>
      <c r="Q38" s="393"/>
      <c r="R38" s="403" t="s">
        <v>176</v>
      </c>
      <c r="U38" s="2" t="s">
        <v>200</v>
      </c>
    </row>
    <row r="39" spans="1:24" x14ac:dyDescent="0.35">
      <c r="A39" s="813"/>
      <c r="B39" s="749"/>
      <c r="C39" s="333">
        <v>32</v>
      </c>
      <c r="D39" s="28">
        <v>91.7</v>
      </c>
      <c r="E39" s="29">
        <f t="shared" si="2"/>
        <v>987.04962999999998</v>
      </c>
      <c r="F39" s="306" t="s">
        <v>9</v>
      </c>
      <c r="G39" s="306"/>
      <c r="H39" s="306"/>
      <c r="I39" s="306"/>
      <c r="J39" s="307"/>
      <c r="K39" s="308" t="s">
        <v>169</v>
      </c>
      <c r="L39" s="309"/>
      <c r="M39" s="306"/>
      <c r="N39" s="306" t="s">
        <v>9</v>
      </c>
      <c r="O39" s="306"/>
      <c r="P39" s="310"/>
      <c r="Q39" s="391"/>
      <c r="R39" s="404" t="s">
        <v>177</v>
      </c>
    </row>
    <row r="40" spans="1:24" x14ac:dyDescent="0.35">
      <c r="A40" s="813"/>
      <c r="B40" s="749"/>
      <c r="C40" s="333">
        <v>33</v>
      </c>
      <c r="D40" s="28">
        <v>75.3</v>
      </c>
      <c r="E40" s="29">
        <f t="shared" si="2"/>
        <v>810.52166999999997</v>
      </c>
      <c r="F40" s="306" t="s">
        <v>9</v>
      </c>
      <c r="G40" s="306"/>
      <c r="H40" s="306"/>
      <c r="I40" s="306"/>
      <c r="J40" s="307"/>
      <c r="K40" s="308" t="s">
        <v>169</v>
      </c>
      <c r="L40" s="309"/>
      <c r="M40" s="306" t="s">
        <v>9</v>
      </c>
      <c r="N40" s="306"/>
      <c r="O40" s="306"/>
      <c r="P40" s="310"/>
      <c r="Q40" s="391"/>
      <c r="R40" s="404" t="s">
        <v>177</v>
      </c>
      <c r="T40" s="2" t="s">
        <v>187</v>
      </c>
    </row>
    <row r="41" spans="1:24" x14ac:dyDescent="0.35">
      <c r="A41" s="813"/>
      <c r="B41" s="749"/>
      <c r="C41" s="333">
        <v>34</v>
      </c>
      <c r="D41" s="28">
        <v>75.3</v>
      </c>
      <c r="E41" s="29">
        <f t="shared" si="2"/>
        <v>810.52166999999997</v>
      </c>
      <c r="F41" s="306" t="s">
        <v>9</v>
      </c>
      <c r="G41" s="306"/>
      <c r="H41" s="306"/>
      <c r="I41" s="306"/>
      <c r="J41" s="307"/>
      <c r="K41" s="308" t="s">
        <v>67</v>
      </c>
      <c r="L41" s="309"/>
      <c r="M41" s="306" t="s">
        <v>9</v>
      </c>
      <c r="N41" s="306"/>
      <c r="O41" s="306"/>
      <c r="P41" s="310"/>
      <c r="Q41" s="393"/>
      <c r="R41" s="404" t="s">
        <v>177</v>
      </c>
      <c r="U41" s="2" t="s">
        <v>190</v>
      </c>
    </row>
    <row r="42" spans="1:24" x14ac:dyDescent="0.35">
      <c r="A42" s="813"/>
      <c r="B42" s="749"/>
      <c r="C42" s="333">
        <v>35</v>
      </c>
      <c r="D42" s="28">
        <v>128.5</v>
      </c>
      <c r="E42" s="29">
        <f t="shared" si="2"/>
        <v>1383.1611499999999</v>
      </c>
      <c r="F42" s="306" t="s">
        <v>9</v>
      </c>
      <c r="G42" s="306"/>
      <c r="H42" s="306"/>
      <c r="I42" s="306"/>
      <c r="J42" s="307"/>
      <c r="K42" s="308" t="s">
        <v>169</v>
      </c>
      <c r="L42" s="309"/>
      <c r="M42" s="306"/>
      <c r="N42" s="306"/>
      <c r="O42" s="306" t="s">
        <v>9</v>
      </c>
      <c r="P42" s="310"/>
      <c r="Q42" s="391" t="s">
        <v>9</v>
      </c>
      <c r="R42" s="404" t="s">
        <v>178</v>
      </c>
      <c r="U42" s="2" t="s">
        <v>189</v>
      </c>
    </row>
    <row r="43" spans="1:24" x14ac:dyDescent="0.35">
      <c r="A43" s="813"/>
      <c r="B43" s="749"/>
      <c r="C43" s="333">
        <v>36</v>
      </c>
      <c r="D43" s="28">
        <v>102.5</v>
      </c>
      <c r="E43" s="29">
        <f t="shared" si="2"/>
        <v>1103.2997499999999</v>
      </c>
      <c r="F43" s="306" t="s">
        <v>9</v>
      </c>
      <c r="G43" s="306"/>
      <c r="H43" s="306"/>
      <c r="I43" s="306"/>
      <c r="J43" s="307"/>
      <c r="K43" s="308" t="s">
        <v>70</v>
      </c>
      <c r="L43" s="309"/>
      <c r="M43" s="306"/>
      <c r="N43" s="306" t="s">
        <v>9</v>
      </c>
      <c r="O43" s="306"/>
      <c r="P43" s="310"/>
      <c r="Q43" s="393" t="s">
        <v>9</v>
      </c>
      <c r="R43" s="404" t="s">
        <v>177</v>
      </c>
      <c r="U43" s="2" t="s">
        <v>199</v>
      </c>
    </row>
    <row r="44" spans="1:24" x14ac:dyDescent="0.35">
      <c r="A44" s="813"/>
      <c r="B44" s="749"/>
      <c r="C44" s="679">
        <v>37</v>
      </c>
      <c r="D44" s="638">
        <v>116.7</v>
      </c>
      <c r="E44" s="640">
        <f t="shared" si="2"/>
        <v>1256.1471300000001</v>
      </c>
      <c r="F44" s="632" t="s">
        <v>9</v>
      </c>
      <c r="G44" s="630"/>
      <c r="H44" s="630"/>
      <c r="I44" s="630"/>
      <c r="J44" s="662"/>
      <c r="K44" s="308" t="s">
        <v>70</v>
      </c>
      <c r="L44" s="664"/>
      <c r="M44" s="630"/>
      <c r="N44" s="632" t="s">
        <v>9</v>
      </c>
      <c r="O44" s="632"/>
      <c r="P44" s="642"/>
      <c r="Q44" s="644" t="s">
        <v>9</v>
      </c>
      <c r="R44" s="646" t="s">
        <v>177</v>
      </c>
      <c r="U44" s="2" t="s">
        <v>188</v>
      </c>
    </row>
    <row r="45" spans="1:24" x14ac:dyDescent="0.35">
      <c r="A45" s="813"/>
      <c r="B45" s="749"/>
      <c r="C45" s="680"/>
      <c r="D45" s="639"/>
      <c r="E45" s="641"/>
      <c r="F45" s="633"/>
      <c r="G45" s="631"/>
      <c r="H45" s="631"/>
      <c r="I45" s="631"/>
      <c r="J45" s="663"/>
      <c r="K45" s="308" t="s">
        <v>66</v>
      </c>
      <c r="L45" s="665"/>
      <c r="M45" s="631"/>
      <c r="N45" s="633"/>
      <c r="O45" s="633"/>
      <c r="P45" s="643"/>
      <c r="Q45" s="652"/>
      <c r="R45" s="647"/>
    </row>
    <row r="46" spans="1:24" x14ac:dyDescent="0.35">
      <c r="A46" s="813"/>
      <c r="B46" s="749"/>
      <c r="C46" s="550">
        <v>38</v>
      </c>
      <c r="D46" s="28">
        <v>39</v>
      </c>
      <c r="E46" s="29">
        <f t="shared" si="2"/>
        <v>419.7921</v>
      </c>
      <c r="F46" s="306"/>
      <c r="G46" s="306"/>
      <c r="H46" s="554" t="s">
        <v>9</v>
      </c>
      <c r="I46" s="306"/>
      <c r="J46" s="307"/>
      <c r="K46" s="308" t="s">
        <v>67</v>
      </c>
      <c r="L46" s="309" t="s">
        <v>9</v>
      </c>
      <c r="M46" s="306"/>
      <c r="N46" s="306"/>
      <c r="O46" s="306"/>
      <c r="P46" s="310"/>
      <c r="Q46" s="391"/>
      <c r="R46" s="404" t="s">
        <v>174</v>
      </c>
      <c r="S46" s="2" t="s">
        <v>9</v>
      </c>
    </row>
    <row r="47" spans="1:24" x14ac:dyDescent="0.35">
      <c r="A47" s="813"/>
      <c r="B47" s="749"/>
      <c r="C47" s="333">
        <v>39</v>
      </c>
      <c r="D47" s="28">
        <v>76.8</v>
      </c>
      <c r="E47" s="29">
        <f t="shared" si="2"/>
        <v>826.66751999999997</v>
      </c>
      <c r="F47" s="306"/>
      <c r="G47" s="306"/>
      <c r="H47" s="306" t="s">
        <v>9</v>
      </c>
      <c r="I47" s="306"/>
      <c r="J47" s="307"/>
      <c r="K47" s="308" t="s">
        <v>66</v>
      </c>
      <c r="L47" s="309"/>
      <c r="M47" s="306"/>
      <c r="N47" s="306" t="s">
        <v>9</v>
      </c>
      <c r="O47" s="306"/>
      <c r="P47" s="310"/>
      <c r="Q47" s="392"/>
      <c r="R47" s="403" t="s">
        <v>176</v>
      </c>
      <c r="T47" s="2" t="s">
        <v>192</v>
      </c>
    </row>
    <row r="48" spans="1:24" x14ac:dyDescent="0.35">
      <c r="A48" s="813"/>
      <c r="B48" s="749"/>
      <c r="C48" s="333">
        <v>40</v>
      </c>
      <c r="D48" s="28">
        <v>93.9</v>
      </c>
      <c r="E48" s="29">
        <f t="shared" si="2"/>
        <v>1010.7302100000001</v>
      </c>
      <c r="F48" s="306" t="s">
        <v>9</v>
      </c>
      <c r="G48" s="306"/>
      <c r="H48" s="306"/>
      <c r="I48" s="306"/>
      <c r="J48" s="307"/>
      <c r="K48" s="308" t="s">
        <v>66</v>
      </c>
      <c r="L48" s="309"/>
      <c r="M48" s="306"/>
      <c r="N48" s="306" t="s">
        <v>9</v>
      </c>
      <c r="O48" s="306"/>
      <c r="P48" s="310"/>
      <c r="Q48" s="393"/>
      <c r="R48" s="404" t="s">
        <v>177</v>
      </c>
      <c r="U48" s="2" t="s">
        <v>191</v>
      </c>
    </row>
    <row r="49" spans="1:21" x14ac:dyDescent="0.35">
      <c r="A49" s="813"/>
      <c r="B49" s="749"/>
      <c r="C49" s="333">
        <v>41</v>
      </c>
      <c r="D49" s="28">
        <v>84.1</v>
      </c>
      <c r="E49" s="29">
        <f t="shared" si="2"/>
        <v>905.24398999999994</v>
      </c>
      <c r="F49" s="306"/>
      <c r="G49" s="306"/>
      <c r="H49" s="306" t="s">
        <v>9</v>
      </c>
      <c r="I49" s="306"/>
      <c r="J49" s="307"/>
      <c r="K49" s="308" t="s">
        <v>66</v>
      </c>
      <c r="L49" s="309"/>
      <c r="M49" s="306" t="s">
        <v>9</v>
      </c>
      <c r="N49" s="306"/>
      <c r="O49" s="306"/>
      <c r="P49" s="310"/>
      <c r="Q49" s="391"/>
      <c r="R49" s="404" t="s">
        <v>177</v>
      </c>
      <c r="U49" s="2" t="s">
        <v>198</v>
      </c>
    </row>
    <row r="50" spans="1:21" x14ac:dyDescent="0.35">
      <c r="A50" s="813"/>
      <c r="B50" s="749"/>
      <c r="C50" s="333">
        <v>42</v>
      </c>
      <c r="D50" s="28">
        <v>111.6</v>
      </c>
      <c r="E50" s="29">
        <f t="shared" si="2"/>
        <v>1201.2512399999998</v>
      </c>
      <c r="F50" s="306"/>
      <c r="G50" s="306"/>
      <c r="H50" s="306" t="s">
        <v>9</v>
      </c>
      <c r="I50" s="306"/>
      <c r="J50" s="307"/>
      <c r="K50" s="308" t="s">
        <v>68</v>
      </c>
      <c r="L50" s="309"/>
      <c r="M50" s="306"/>
      <c r="N50" s="306" t="s">
        <v>9</v>
      </c>
      <c r="O50" s="306"/>
      <c r="P50" s="310"/>
      <c r="Q50" s="391"/>
      <c r="R50" s="403" t="s">
        <v>176</v>
      </c>
      <c r="U50" s="2" t="s">
        <v>195</v>
      </c>
    </row>
    <row r="51" spans="1:21" x14ac:dyDescent="0.35">
      <c r="A51" s="813"/>
      <c r="B51" s="746" t="s">
        <v>24</v>
      </c>
      <c r="C51" s="333">
        <v>43</v>
      </c>
      <c r="D51" s="28">
        <v>46.9</v>
      </c>
      <c r="E51" s="29">
        <f t="shared" si="2"/>
        <v>504.82690999999994</v>
      </c>
      <c r="F51" s="306"/>
      <c r="G51" s="306"/>
      <c r="H51" s="306" t="s">
        <v>9</v>
      </c>
      <c r="I51" s="306"/>
      <c r="J51" s="307"/>
      <c r="K51" s="308" t="s">
        <v>68</v>
      </c>
      <c r="L51" s="309" t="s">
        <v>9</v>
      </c>
      <c r="M51" s="306"/>
      <c r="N51" s="306"/>
      <c r="O51" s="306"/>
      <c r="P51" s="310"/>
      <c r="Q51" s="391"/>
      <c r="R51" s="404" t="s">
        <v>174</v>
      </c>
    </row>
    <row r="52" spans="1:21" x14ac:dyDescent="0.35">
      <c r="A52" s="813"/>
      <c r="B52" s="747"/>
      <c r="C52" s="333">
        <v>44</v>
      </c>
      <c r="D52" s="28">
        <v>107.6</v>
      </c>
      <c r="E52" s="29">
        <f t="shared" si="2"/>
        <v>1158.1956399999999</v>
      </c>
      <c r="F52" s="306"/>
      <c r="G52" s="306"/>
      <c r="H52" s="306" t="s">
        <v>9</v>
      </c>
      <c r="I52" s="306"/>
      <c r="J52" s="307"/>
      <c r="K52" s="308" t="s">
        <v>68</v>
      </c>
      <c r="L52" s="309"/>
      <c r="M52" s="306"/>
      <c r="N52" s="306" t="s">
        <v>9</v>
      </c>
      <c r="O52" s="306"/>
      <c r="P52" s="310"/>
      <c r="Q52" s="391" t="s">
        <v>9</v>
      </c>
      <c r="R52" s="403" t="s">
        <v>176</v>
      </c>
      <c r="T52" s="2" t="s">
        <v>194</v>
      </c>
    </row>
    <row r="53" spans="1:21" x14ac:dyDescent="0.35">
      <c r="A53" s="813"/>
      <c r="B53" s="747"/>
      <c r="C53" s="550">
        <v>45</v>
      </c>
      <c r="D53" s="28">
        <v>38.5</v>
      </c>
      <c r="E53" s="29">
        <f t="shared" si="2"/>
        <v>414.41014999999999</v>
      </c>
      <c r="F53" s="306"/>
      <c r="G53" s="306"/>
      <c r="H53" s="554" t="s">
        <v>9</v>
      </c>
      <c r="I53" s="306"/>
      <c r="J53" s="307"/>
      <c r="K53" s="308" t="s">
        <v>68</v>
      </c>
      <c r="L53" s="309" t="s">
        <v>9</v>
      </c>
      <c r="M53" s="306"/>
      <c r="N53" s="306"/>
      <c r="O53" s="306"/>
      <c r="P53" s="310"/>
      <c r="Q53" s="391"/>
      <c r="R53" s="404" t="s">
        <v>174</v>
      </c>
      <c r="S53" s="2" t="s">
        <v>9</v>
      </c>
      <c r="U53" s="2" t="s">
        <v>191</v>
      </c>
    </row>
    <row r="54" spans="1:21" x14ac:dyDescent="0.35">
      <c r="A54" s="813"/>
      <c r="B54" s="747"/>
      <c r="C54" s="333">
        <v>46</v>
      </c>
      <c r="D54" s="28">
        <v>75.3</v>
      </c>
      <c r="E54" s="29">
        <f>SUM(D54*10.7639)</f>
        <v>810.52166999999997</v>
      </c>
      <c r="F54" s="306"/>
      <c r="G54" s="306"/>
      <c r="H54" s="306" t="s">
        <v>9</v>
      </c>
      <c r="I54" s="306"/>
      <c r="J54" s="307"/>
      <c r="K54" s="308" t="s">
        <v>68</v>
      </c>
      <c r="L54" s="309"/>
      <c r="M54" s="306" t="s">
        <v>9</v>
      </c>
      <c r="N54" s="306"/>
      <c r="O54" s="306"/>
      <c r="P54" s="310"/>
      <c r="Q54" s="391"/>
      <c r="R54" s="403" t="s">
        <v>176</v>
      </c>
      <c r="U54" s="2" t="s">
        <v>198</v>
      </c>
    </row>
    <row r="55" spans="1:21" x14ac:dyDescent="0.35">
      <c r="A55" s="813"/>
      <c r="B55" s="747"/>
      <c r="C55" s="333">
        <v>47</v>
      </c>
      <c r="D55" s="28">
        <v>94.3</v>
      </c>
      <c r="E55" s="29">
        <f t="shared" si="2"/>
        <v>1015.03577</v>
      </c>
      <c r="F55" s="306"/>
      <c r="G55" s="306"/>
      <c r="H55" s="306" t="s">
        <v>9</v>
      </c>
      <c r="I55" s="306"/>
      <c r="J55" s="307"/>
      <c r="K55" s="308" t="s">
        <v>68</v>
      </c>
      <c r="L55" s="309"/>
      <c r="M55" s="306"/>
      <c r="N55" s="306" t="s">
        <v>9</v>
      </c>
      <c r="O55" s="306"/>
      <c r="P55" s="310"/>
      <c r="Q55" s="391"/>
      <c r="R55" s="403" t="s">
        <v>176</v>
      </c>
      <c r="U55" s="2" t="s">
        <v>193</v>
      </c>
    </row>
    <row r="56" spans="1:21" x14ac:dyDescent="0.35">
      <c r="A56" s="813"/>
      <c r="B56" s="747"/>
      <c r="C56" s="333">
        <v>48</v>
      </c>
      <c r="D56" s="28">
        <v>107.5</v>
      </c>
      <c r="E56" s="29">
        <f t="shared" ref="E56:E84" si="3">SUM(D56*10.7639)</f>
        <v>1157.11925</v>
      </c>
      <c r="F56" s="306" t="s">
        <v>9</v>
      </c>
      <c r="G56" s="306"/>
      <c r="H56" s="306"/>
      <c r="I56" s="306"/>
      <c r="J56" s="307"/>
      <c r="K56" s="308" t="s">
        <v>66</v>
      </c>
      <c r="L56" s="309"/>
      <c r="M56" s="306" t="s">
        <v>9</v>
      </c>
      <c r="N56" s="306"/>
      <c r="O56" s="306"/>
      <c r="P56" s="310"/>
      <c r="Q56" s="391" t="s">
        <v>9</v>
      </c>
      <c r="R56" s="404" t="s">
        <v>177</v>
      </c>
    </row>
    <row r="57" spans="1:21" x14ac:dyDescent="0.35">
      <c r="A57" s="813"/>
      <c r="B57" s="747"/>
      <c r="C57" s="333">
        <v>49</v>
      </c>
      <c r="D57" s="28">
        <v>105.1</v>
      </c>
      <c r="E57" s="29">
        <f t="shared" si="3"/>
        <v>1131.2858899999999</v>
      </c>
      <c r="F57" s="306" t="s">
        <v>9</v>
      </c>
      <c r="G57" s="306"/>
      <c r="H57" s="306"/>
      <c r="I57" s="306"/>
      <c r="J57" s="307"/>
      <c r="K57" s="308" t="s">
        <v>66</v>
      </c>
      <c r="L57" s="309"/>
      <c r="M57" s="306"/>
      <c r="N57" s="306" t="s">
        <v>9</v>
      </c>
      <c r="O57" s="306"/>
      <c r="P57" s="310"/>
      <c r="Q57" s="391"/>
      <c r="R57" s="404" t="s">
        <v>177</v>
      </c>
      <c r="T57" s="2" t="s">
        <v>201</v>
      </c>
    </row>
    <row r="58" spans="1:21" x14ac:dyDescent="0.35">
      <c r="A58" s="813"/>
      <c r="B58" s="747"/>
      <c r="C58" s="333">
        <v>50</v>
      </c>
      <c r="D58" s="28">
        <v>129</v>
      </c>
      <c r="E58" s="29">
        <f t="shared" si="3"/>
        <v>1388.5430999999999</v>
      </c>
      <c r="F58" s="306" t="s">
        <v>9</v>
      </c>
      <c r="G58" s="306"/>
      <c r="H58" s="306"/>
      <c r="I58" s="306"/>
      <c r="J58" s="307"/>
      <c r="K58" s="308" t="s">
        <v>66</v>
      </c>
      <c r="L58" s="309"/>
      <c r="M58" s="306"/>
      <c r="N58" s="306"/>
      <c r="O58" s="306" t="s">
        <v>9</v>
      </c>
      <c r="P58" s="310"/>
      <c r="Q58" s="393"/>
      <c r="R58" s="404" t="s">
        <v>177</v>
      </c>
      <c r="U58" s="2" t="s">
        <v>197</v>
      </c>
    </row>
    <row r="59" spans="1:21" x14ac:dyDescent="0.35">
      <c r="A59" s="813"/>
      <c r="B59" s="747"/>
      <c r="C59" s="333">
        <v>51</v>
      </c>
      <c r="D59" s="28">
        <v>101.3</v>
      </c>
      <c r="E59" s="29">
        <f t="shared" si="3"/>
        <v>1090.3830699999999</v>
      </c>
      <c r="F59" s="306" t="s">
        <v>9</v>
      </c>
      <c r="G59" s="306"/>
      <c r="H59" s="306"/>
      <c r="I59" s="306"/>
      <c r="J59" s="307"/>
      <c r="K59" s="308" t="s">
        <v>70</v>
      </c>
      <c r="L59" s="309"/>
      <c r="M59" s="306"/>
      <c r="N59" s="306" t="s">
        <v>9</v>
      </c>
      <c r="O59" s="306"/>
      <c r="P59" s="310"/>
      <c r="Q59" s="391"/>
      <c r="R59" s="404" t="s">
        <v>177</v>
      </c>
      <c r="U59" s="2" t="s">
        <v>198</v>
      </c>
    </row>
    <row r="60" spans="1:21" x14ac:dyDescent="0.35">
      <c r="A60" s="813"/>
      <c r="B60" s="747"/>
      <c r="C60" s="333">
        <v>52</v>
      </c>
      <c r="D60" s="28">
        <v>84.8</v>
      </c>
      <c r="E60" s="29">
        <f t="shared" si="3"/>
        <v>912.77871999999991</v>
      </c>
      <c r="F60" s="306" t="s">
        <v>9</v>
      </c>
      <c r="G60" s="306"/>
      <c r="H60" s="306"/>
      <c r="I60" s="306"/>
      <c r="J60" s="307"/>
      <c r="K60" s="308" t="s">
        <v>170</v>
      </c>
      <c r="L60" s="309"/>
      <c r="M60" s="306" t="s">
        <v>9</v>
      </c>
      <c r="N60" s="306"/>
      <c r="O60" s="306"/>
      <c r="P60" s="310"/>
      <c r="Q60" s="392"/>
      <c r="R60" s="403" t="s">
        <v>176</v>
      </c>
      <c r="U60" s="2" t="s">
        <v>195</v>
      </c>
    </row>
    <row r="61" spans="1:21" x14ac:dyDescent="0.35">
      <c r="A61" s="813"/>
      <c r="B61" s="747"/>
      <c r="C61" s="333">
        <v>53</v>
      </c>
      <c r="D61" s="28">
        <v>127.7</v>
      </c>
      <c r="E61" s="29">
        <f t="shared" si="3"/>
        <v>1374.5500299999999</v>
      </c>
      <c r="F61" s="306" t="s">
        <v>9</v>
      </c>
      <c r="G61" s="306"/>
      <c r="H61" s="306"/>
      <c r="I61" s="306"/>
      <c r="J61" s="307"/>
      <c r="K61" s="308" t="s">
        <v>170</v>
      </c>
      <c r="L61" s="309"/>
      <c r="M61" s="306"/>
      <c r="N61" s="306"/>
      <c r="O61" s="306" t="s">
        <v>9</v>
      </c>
      <c r="P61" s="310"/>
      <c r="Q61" s="392"/>
      <c r="R61" s="404" t="s">
        <v>177</v>
      </c>
    </row>
    <row r="62" spans="1:21" x14ac:dyDescent="0.35">
      <c r="A62" s="813"/>
      <c r="B62" s="747"/>
      <c r="C62" s="333">
        <v>54</v>
      </c>
      <c r="D62" s="28">
        <v>109.2</v>
      </c>
      <c r="E62" s="29">
        <f t="shared" si="3"/>
        <v>1175.41788</v>
      </c>
      <c r="F62" s="306" t="s">
        <v>9</v>
      </c>
      <c r="G62" s="306"/>
      <c r="H62" s="306"/>
      <c r="I62" s="306"/>
      <c r="J62" s="307"/>
      <c r="K62" s="308" t="s">
        <v>170</v>
      </c>
      <c r="L62" s="309"/>
      <c r="M62" s="306"/>
      <c r="N62" s="306"/>
      <c r="O62" s="306" t="s">
        <v>9</v>
      </c>
      <c r="P62" s="310"/>
      <c r="Q62" s="393"/>
      <c r="R62" s="404" t="s">
        <v>177</v>
      </c>
      <c r="T62" s="2" t="s">
        <v>196</v>
      </c>
    </row>
    <row r="63" spans="1:21" x14ac:dyDescent="0.35">
      <c r="A63" s="813"/>
      <c r="B63" s="747"/>
      <c r="C63" s="333">
        <v>55</v>
      </c>
      <c r="D63" s="28">
        <v>100.8</v>
      </c>
      <c r="E63" s="29">
        <f t="shared" si="3"/>
        <v>1085.0011199999999</v>
      </c>
      <c r="F63" s="306" t="s">
        <v>9</v>
      </c>
      <c r="G63" s="306"/>
      <c r="H63" s="306"/>
      <c r="I63" s="306"/>
      <c r="J63" s="307"/>
      <c r="K63" s="308" t="s">
        <v>66</v>
      </c>
      <c r="L63" s="309"/>
      <c r="M63" s="306"/>
      <c r="N63" s="306" t="s">
        <v>9</v>
      </c>
      <c r="O63" s="306"/>
      <c r="P63" s="310"/>
      <c r="Q63" s="391" t="s">
        <v>9</v>
      </c>
      <c r="R63" s="404" t="s">
        <v>177</v>
      </c>
      <c r="U63" s="2" t="s">
        <v>197</v>
      </c>
    </row>
    <row r="64" spans="1:21" x14ac:dyDescent="0.35">
      <c r="A64" s="813"/>
      <c r="B64" s="747"/>
      <c r="C64" s="333">
        <v>56</v>
      </c>
      <c r="D64" s="28">
        <v>97.1</v>
      </c>
      <c r="E64" s="29">
        <f t="shared" si="3"/>
        <v>1045.1746899999998</v>
      </c>
      <c r="F64" s="306" t="s">
        <v>9</v>
      </c>
      <c r="G64" s="306"/>
      <c r="H64" s="306"/>
      <c r="I64" s="306"/>
      <c r="J64" s="307"/>
      <c r="K64" s="308" t="s">
        <v>66</v>
      </c>
      <c r="L64" s="309"/>
      <c r="M64" s="306"/>
      <c r="N64" s="306" t="s">
        <v>9</v>
      </c>
      <c r="O64" s="306"/>
      <c r="P64" s="310"/>
      <c r="Q64" s="391"/>
      <c r="R64" s="404" t="s">
        <v>177</v>
      </c>
      <c r="U64" s="2" t="s">
        <v>198</v>
      </c>
    </row>
    <row r="65" spans="1:30" x14ac:dyDescent="0.35">
      <c r="A65" s="813"/>
      <c r="B65" s="747"/>
      <c r="C65" s="333">
        <v>57</v>
      </c>
      <c r="D65" s="28">
        <v>97.1</v>
      </c>
      <c r="E65" s="29">
        <f t="shared" si="3"/>
        <v>1045.1746899999998</v>
      </c>
      <c r="F65" s="306" t="s">
        <v>9</v>
      </c>
      <c r="G65" s="306"/>
      <c r="H65" s="306"/>
      <c r="I65" s="306"/>
      <c r="J65" s="307"/>
      <c r="K65" s="308" t="s">
        <v>66</v>
      </c>
      <c r="L65" s="309"/>
      <c r="M65" s="306"/>
      <c r="N65" s="306" t="s">
        <v>9</v>
      </c>
      <c r="O65" s="306"/>
      <c r="P65" s="310"/>
      <c r="Q65" s="391"/>
      <c r="R65" s="404" t="s">
        <v>177</v>
      </c>
      <c r="U65" s="2" t="s">
        <v>193</v>
      </c>
    </row>
    <row r="66" spans="1:30" x14ac:dyDescent="0.35">
      <c r="A66" s="813"/>
      <c r="B66" s="747"/>
      <c r="C66" s="333">
        <v>58</v>
      </c>
      <c r="D66" s="28">
        <v>105.6</v>
      </c>
      <c r="E66" s="29">
        <f t="shared" si="3"/>
        <v>1136.6678399999998</v>
      </c>
      <c r="F66" s="306"/>
      <c r="G66" s="306"/>
      <c r="H66" s="306" t="s">
        <v>9</v>
      </c>
      <c r="I66" s="306"/>
      <c r="J66" s="307"/>
      <c r="K66" s="308" t="s">
        <v>68</v>
      </c>
      <c r="L66" s="309"/>
      <c r="M66" s="306"/>
      <c r="N66" s="306" t="s">
        <v>9</v>
      </c>
      <c r="O66" s="306"/>
      <c r="P66" s="310"/>
      <c r="Q66" s="393"/>
      <c r="R66" s="403" t="s">
        <v>176</v>
      </c>
    </row>
    <row r="67" spans="1:30" x14ac:dyDescent="0.35">
      <c r="A67" s="813"/>
      <c r="B67" s="747"/>
      <c r="C67" s="333">
        <v>59</v>
      </c>
      <c r="D67" s="28">
        <v>96</v>
      </c>
      <c r="E67" s="29">
        <f t="shared" si="3"/>
        <v>1033.3344</v>
      </c>
      <c r="F67" s="306"/>
      <c r="G67" s="306"/>
      <c r="H67" s="306" t="s">
        <v>9</v>
      </c>
      <c r="I67" s="306"/>
      <c r="J67" s="307"/>
      <c r="K67" s="308" t="s">
        <v>68</v>
      </c>
      <c r="L67" s="309"/>
      <c r="M67" s="306"/>
      <c r="N67" s="306" t="s">
        <v>9</v>
      </c>
      <c r="O67" s="306"/>
      <c r="P67" s="310"/>
      <c r="Q67" s="391"/>
      <c r="R67" s="403" t="s">
        <v>176</v>
      </c>
    </row>
    <row r="68" spans="1:30" x14ac:dyDescent="0.35">
      <c r="A68" s="813"/>
      <c r="B68" s="747"/>
      <c r="C68" s="333">
        <v>60</v>
      </c>
      <c r="D68" s="28">
        <v>106</v>
      </c>
      <c r="E68" s="29">
        <f t="shared" si="3"/>
        <v>1140.9733999999999</v>
      </c>
      <c r="F68" s="306" t="s">
        <v>9</v>
      </c>
      <c r="G68" s="306"/>
      <c r="H68" s="306"/>
      <c r="I68" s="306"/>
      <c r="J68" s="307"/>
      <c r="K68" s="308" t="s">
        <v>67</v>
      </c>
      <c r="L68" s="309"/>
      <c r="M68" s="306" t="s">
        <v>9</v>
      </c>
      <c r="N68" s="306"/>
      <c r="O68" s="306"/>
      <c r="P68" s="310"/>
      <c r="Q68" s="393"/>
      <c r="R68" s="404" t="s">
        <v>178</v>
      </c>
    </row>
    <row r="69" spans="1:30" ht="18" thickBot="1" x14ac:dyDescent="0.4">
      <c r="A69" s="813"/>
      <c r="B69" s="747"/>
      <c r="C69" s="333">
        <v>61</v>
      </c>
      <c r="D69" s="28">
        <v>96.7</v>
      </c>
      <c r="E69" s="29">
        <f t="shared" si="3"/>
        <v>1040.86913</v>
      </c>
      <c r="F69" s="306"/>
      <c r="G69" s="306"/>
      <c r="H69" s="306" t="s">
        <v>9</v>
      </c>
      <c r="I69" s="306"/>
      <c r="J69" s="307"/>
      <c r="K69" s="308" t="s">
        <v>68</v>
      </c>
      <c r="L69" s="309"/>
      <c r="M69" s="306"/>
      <c r="N69" s="306" t="s">
        <v>9</v>
      </c>
      <c r="O69" s="306"/>
      <c r="P69" s="310"/>
      <c r="Q69" s="391"/>
      <c r="R69" s="403" t="s">
        <v>176</v>
      </c>
      <c r="V69" s="346"/>
      <c r="W69" s="346"/>
      <c r="X69" s="346"/>
      <c r="Y69" s="346"/>
    </row>
    <row r="70" spans="1:30" ht="18" thickBot="1" x14ac:dyDescent="0.4">
      <c r="A70" s="813"/>
      <c r="B70" s="747"/>
      <c r="C70" s="333">
        <v>62</v>
      </c>
      <c r="D70" s="28">
        <v>104.8</v>
      </c>
      <c r="E70" s="29">
        <f t="shared" si="3"/>
        <v>1128.0567199999998</v>
      </c>
      <c r="F70" s="306"/>
      <c r="G70" s="306"/>
      <c r="H70" s="306" t="s">
        <v>9</v>
      </c>
      <c r="I70" s="306"/>
      <c r="J70" s="307"/>
      <c r="K70" s="308" t="s">
        <v>68</v>
      </c>
      <c r="L70" s="309"/>
      <c r="M70" s="306"/>
      <c r="N70" s="306" t="s">
        <v>9</v>
      </c>
      <c r="O70" s="306"/>
      <c r="P70" s="310"/>
      <c r="Q70" s="393"/>
      <c r="R70" s="403" t="s">
        <v>176</v>
      </c>
      <c r="U70" s="729">
        <v>45518</v>
      </c>
      <c r="V70" s="730"/>
      <c r="W70" s="730"/>
      <c r="X70" s="689" t="s">
        <v>205</v>
      </c>
      <c r="Y70" s="844"/>
      <c r="Z70" s="848" t="s">
        <v>206</v>
      </c>
      <c r="AA70" s="849"/>
    </row>
    <row r="71" spans="1:30" x14ac:dyDescent="0.35">
      <c r="A71" s="813"/>
      <c r="B71" s="747"/>
      <c r="C71" s="679">
        <v>63</v>
      </c>
      <c r="D71" s="638">
        <v>86</v>
      </c>
      <c r="E71" s="640">
        <f t="shared" si="3"/>
        <v>925.69539999999995</v>
      </c>
      <c r="F71" s="632" t="s">
        <v>9</v>
      </c>
      <c r="G71" s="630"/>
      <c r="H71" s="630"/>
      <c r="I71" s="630"/>
      <c r="J71" s="662"/>
      <c r="K71" s="308" t="s">
        <v>67</v>
      </c>
      <c r="L71" s="664"/>
      <c r="M71" s="632" t="s">
        <v>9</v>
      </c>
      <c r="N71" s="632"/>
      <c r="O71" s="632"/>
      <c r="P71" s="642"/>
      <c r="Q71" s="644"/>
      <c r="R71" s="646" t="s">
        <v>178</v>
      </c>
      <c r="T71" s="344"/>
      <c r="U71" s="726" t="s">
        <v>203</v>
      </c>
      <c r="V71" s="727"/>
      <c r="W71" s="728"/>
      <c r="X71" s="724">
        <v>427</v>
      </c>
      <c r="Y71" s="845"/>
      <c r="Z71" s="850">
        <v>639</v>
      </c>
      <c r="AA71" s="851"/>
    </row>
    <row r="72" spans="1:30" x14ac:dyDescent="0.35">
      <c r="A72" s="813"/>
      <c r="B72" s="747"/>
      <c r="C72" s="680"/>
      <c r="D72" s="639"/>
      <c r="E72" s="641"/>
      <c r="F72" s="633"/>
      <c r="G72" s="631"/>
      <c r="H72" s="631"/>
      <c r="I72" s="631"/>
      <c r="J72" s="663"/>
      <c r="K72" s="308" t="s">
        <v>66</v>
      </c>
      <c r="L72" s="665"/>
      <c r="M72" s="633"/>
      <c r="N72" s="633"/>
      <c r="O72" s="633"/>
      <c r="P72" s="643"/>
      <c r="Q72" s="652"/>
      <c r="R72" s="647"/>
      <c r="T72" s="344"/>
      <c r="U72" s="487"/>
      <c r="V72" s="488"/>
      <c r="W72" s="489"/>
      <c r="X72" s="490"/>
      <c r="Y72" s="491"/>
      <c r="Z72" s="492"/>
      <c r="AA72" s="493"/>
    </row>
    <row r="73" spans="1:30" x14ac:dyDescent="0.35">
      <c r="A73" s="813"/>
      <c r="B73" s="747"/>
      <c r="C73" s="333">
        <v>64</v>
      </c>
      <c r="D73" s="28">
        <v>97.1</v>
      </c>
      <c r="E73" s="29">
        <f t="shared" si="3"/>
        <v>1045.1746899999998</v>
      </c>
      <c r="F73" s="306" t="s">
        <v>9</v>
      </c>
      <c r="G73" s="306"/>
      <c r="H73" s="306"/>
      <c r="I73" s="306"/>
      <c r="J73" s="307"/>
      <c r="K73" s="308" t="s">
        <v>66</v>
      </c>
      <c r="L73" s="309"/>
      <c r="M73" s="306"/>
      <c r="N73" s="306" t="s">
        <v>9</v>
      </c>
      <c r="O73" s="306"/>
      <c r="P73" s="310"/>
      <c r="Q73" s="391"/>
      <c r="R73" s="404" t="s">
        <v>177</v>
      </c>
      <c r="T73" s="344"/>
      <c r="U73" s="855" t="s">
        <v>204</v>
      </c>
      <c r="V73" s="856"/>
      <c r="W73" s="857"/>
      <c r="X73" s="839">
        <v>317</v>
      </c>
      <c r="Y73" s="846"/>
      <c r="Z73" s="852">
        <v>618</v>
      </c>
      <c r="AA73" s="841"/>
    </row>
    <row r="74" spans="1:30" ht="18" thickBot="1" x14ac:dyDescent="0.4">
      <c r="A74" s="813"/>
      <c r="B74" s="747"/>
      <c r="C74" s="333">
        <v>65</v>
      </c>
      <c r="D74" s="28">
        <v>97.1</v>
      </c>
      <c r="E74" s="29">
        <f t="shared" si="3"/>
        <v>1045.1746899999998</v>
      </c>
      <c r="F74" s="306" t="s">
        <v>9</v>
      </c>
      <c r="G74" s="306"/>
      <c r="H74" s="306"/>
      <c r="I74" s="306"/>
      <c r="J74" s="307"/>
      <c r="K74" s="308" t="s">
        <v>66</v>
      </c>
      <c r="L74" s="309"/>
      <c r="M74" s="306"/>
      <c r="N74" s="306" t="s">
        <v>9</v>
      </c>
      <c r="O74" s="306"/>
      <c r="P74" s="310"/>
      <c r="Q74" s="391"/>
      <c r="R74" s="404" t="s">
        <v>177</v>
      </c>
      <c r="T74" s="344"/>
      <c r="U74" s="847"/>
      <c r="V74" s="789"/>
      <c r="W74" s="854"/>
      <c r="X74" s="847" t="s">
        <v>208</v>
      </c>
      <c r="Y74" s="790"/>
      <c r="Z74" s="853" t="s">
        <v>207</v>
      </c>
      <c r="AA74" s="854"/>
    </row>
    <row r="75" spans="1:30" x14ac:dyDescent="0.35">
      <c r="A75" s="813"/>
      <c r="B75" s="747"/>
      <c r="C75" s="333">
        <v>66</v>
      </c>
      <c r="D75" s="28">
        <v>130</v>
      </c>
      <c r="E75" s="29">
        <f t="shared" si="3"/>
        <v>1399.307</v>
      </c>
      <c r="F75" s="306" t="s">
        <v>9</v>
      </c>
      <c r="G75" s="306"/>
      <c r="H75" s="306"/>
      <c r="I75" s="306"/>
      <c r="J75" s="307"/>
      <c r="K75" s="308" t="s">
        <v>169</v>
      </c>
      <c r="L75" s="309"/>
      <c r="M75" s="306"/>
      <c r="N75" s="306"/>
      <c r="O75" s="306" t="s">
        <v>9</v>
      </c>
      <c r="P75" s="310"/>
      <c r="Q75" s="392" t="s">
        <v>9</v>
      </c>
      <c r="R75" s="404" t="s">
        <v>177</v>
      </c>
    </row>
    <row r="76" spans="1:30" x14ac:dyDescent="0.35">
      <c r="A76" s="813"/>
      <c r="B76" s="747"/>
      <c r="C76" s="333">
        <v>67</v>
      </c>
      <c r="D76" s="28">
        <v>84.2</v>
      </c>
      <c r="E76" s="29">
        <f t="shared" si="3"/>
        <v>906.32038</v>
      </c>
      <c r="F76" s="306" t="s">
        <v>9</v>
      </c>
      <c r="G76" s="306"/>
      <c r="H76" s="306"/>
      <c r="I76" s="306"/>
      <c r="J76" s="307"/>
      <c r="K76" s="308" t="s">
        <v>170</v>
      </c>
      <c r="L76" s="309"/>
      <c r="M76" s="306"/>
      <c r="N76" s="306" t="s">
        <v>9</v>
      </c>
      <c r="O76" s="306"/>
      <c r="P76" s="310"/>
      <c r="Q76" s="392"/>
      <c r="R76" s="403" t="s">
        <v>176</v>
      </c>
    </row>
    <row r="77" spans="1:30" x14ac:dyDescent="0.35">
      <c r="A77" s="813"/>
      <c r="B77" s="747"/>
      <c r="C77" s="679">
        <v>68</v>
      </c>
      <c r="D77" s="638">
        <v>92.4</v>
      </c>
      <c r="E77" s="640">
        <f t="shared" si="3"/>
        <v>994.58436000000006</v>
      </c>
      <c r="F77" s="632" t="s">
        <v>9</v>
      </c>
      <c r="G77" s="630"/>
      <c r="H77" s="630"/>
      <c r="I77" s="630"/>
      <c r="J77" s="662"/>
      <c r="K77" s="308" t="s">
        <v>66</v>
      </c>
      <c r="L77" s="664"/>
      <c r="M77" s="630"/>
      <c r="N77" s="632" t="s">
        <v>9</v>
      </c>
      <c r="O77" s="632"/>
      <c r="P77" s="642"/>
      <c r="Q77" s="644" t="s">
        <v>9</v>
      </c>
      <c r="R77" s="646" t="s">
        <v>177</v>
      </c>
    </row>
    <row r="78" spans="1:30" ht="18" thickBot="1" x14ac:dyDescent="0.4">
      <c r="A78" s="813"/>
      <c r="B78" s="747"/>
      <c r="C78" s="680"/>
      <c r="D78" s="639"/>
      <c r="E78" s="641"/>
      <c r="F78" s="633"/>
      <c r="G78" s="631"/>
      <c r="H78" s="631"/>
      <c r="I78" s="631"/>
      <c r="J78" s="663"/>
      <c r="K78" s="308" t="s">
        <v>169</v>
      </c>
      <c r="L78" s="665"/>
      <c r="M78" s="631"/>
      <c r="N78" s="633"/>
      <c r="O78" s="633"/>
      <c r="P78" s="643"/>
      <c r="Q78" s="652"/>
      <c r="R78" s="647"/>
      <c r="U78" s="346"/>
      <c r="V78" s="346"/>
      <c r="W78" s="346"/>
      <c r="X78" s="346"/>
      <c r="Y78" s="346"/>
      <c r="Z78" s="346"/>
      <c r="AA78" s="346"/>
      <c r="AB78" s="346"/>
      <c r="AC78" s="346"/>
    </row>
    <row r="79" spans="1:30" ht="18" thickBot="1" x14ac:dyDescent="0.4">
      <c r="A79" s="813"/>
      <c r="B79" s="747"/>
      <c r="C79" s="679">
        <v>69</v>
      </c>
      <c r="D79" s="638">
        <v>92.4</v>
      </c>
      <c r="E79" s="640">
        <f t="shared" si="3"/>
        <v>994.58436000000006</v>
      </c>
      <c r="F79" s="632" t="s">
        <v>9</v>
      </c>
      <c r="G79" s="630"/>
      <c r="H79" s="630"/>
      <c r="I79" s="630"/>
      <c r="J79" s="662"/>
      <c r="K79" s="308" t="s">
        <v>66</v>
      </c>
      <c r="L79" s="664"/>
      <c r="M79" s="630"/>
      <c r="N79" s="632" t="s">
        <v>9</v>
      </c>
      <c r="O79" s="632"/>
      <c r="P79" s="642"/>
      <c r="Q79" s="644" t="s">
        <v>9</v>
      </c>
      <c r="R79" s="646" t="s">
        <v>177</v>
      </c>
      <c r="T79" s="344"/>
      <c r="U79" s="653"/>
      <c r="V79" s="730"/>
      <c r="W79" s="730"/>
      <c r="X79" s="656"/>
      <c r="Y79" s="432" t="s">
        <v>214</v>
      </c>
      <c r="Z79" s="440" t="s">
        <v>215</v>
      </c>
      <c r="AA79" s="440" t="s">
        <v>216</v>
      </c>
      <c r="AB79" s="440" t="s">
        <v>217</v>
      </c>
      <c r="AC79" s="429" t="s">
        <v>215</v>
      </c>
      <c r="AD79" s="444" t="s">
        <v>55</v>
      </c>
    </row>
    <row r="80" spans="1:30" ht="18" thickBot="1" x14ac:dyDescent="0.4">
      <c r="A80" s="813"/>
      <c r="B80" s="747"/>
      <c r="C80" s="680"/>
      <c r="D80" s="639"/>
      <c r="E80" s="641"/>
      <c r="F80" s="633"/>
      <c r="G80" s="631"/>
      <c r="H80" s="631"/>
      <c r="I80" s="631"/>
      <c r="J80" s="663"/>
      <c r="K80" s="308" t="s">
        <v>169</v>
      </c>
      <c r="L80" s="665"/>
      <c r="M80" s="631"/>
      <c r="N80" s="633"/>
      <c r="O80" s="633"/>
      <c r="P80" s="643"/>
      <c r="Q80" s="652"/>
      <c r="R80" s="647"/>
      <c r="T80" s="344"/>
      <c r="U80" s="494"/>
      <c r="V80" s="495"/>
      <c r="W80" s="495"/>
      <c r="X80" s="496"/>
      <c r="Y80" s="497"/>
      <c r="Z80" s="498"/>
      <c r="AA80" s="498"/>
      <c r="AB80" s="498"/>
      <c r="AC80" s="472"/>
      <c r="AD80" s="443"/>
    </row>
    <row r="81" spans="1:30" x14ac:dyDescent="0.35">
      <c r="A81" s="813"/>
      <c r="B81" s="747"/>
      <c r="C81" s="679">
        <v>70</v>
      </c>
      <c r="D81" s="638">
        <v>94.6</v>
      </c>
      <c r="E81" s="640">
        <f>SUM(D81*10.7639)</f>
        <v>1018.2649399999999</v>
      </c>
      <c r="F81" s="632" t="s">
        <v>9</v>
      </c>
      <c r="G81" s="630"/>
      <c r="H81" s="630"/>
      <c r="I81" s="630"/>
      <c r="J81" s="662"/>
      <c r="K81" s="308" t="s">
        <v>169</v>
      </c>
      <c r="L81" s="664"/>
      <c r="M81" s="630"/>
      <c r="N81" s="632" t="s">
        <v>9</v>
      </c>
      <c r="O81" s="632"/>
      <c r="P81" s="642"/>
      <c r="Q81" s="644"/>
      <c r="R81" s="646" t="s">
        <v>177</v>
      </c>
      <c r="T81" s="344"/>
      <c r="U81" s="724" t="s">
        <v>211</v>
      </c>
      <c r="V81" s="845"/>
      <c r="W81" s="845"/>
      <c r="X81" s="851"/>
      <c r="Y81" s="437">
        <v>38</v>
      </c>
      <c r="Z81" s="441">
        <v>100</v>
      </c>
      <c r="AA81" s="441">
        <v>99</v>
      </c>
      <c r="AB81" s="441"/>
      <c r="AC81" s="435">
        <v>104</v>
      </c>
      <c r="AD81" s="443">
        <f>SUM(Y81:AC81)</f>
        <v>341</v>
      </c>
    </row>
    <row r="82" spans="1:30" x14ac:dyDescent="0.35">
      <c r="A82" s="813"/>
      <c r="B82" s="747"/>
      <c r="C82" s="783"/>
      <c r="D82" s="673"/>
      <c r="E82" s="674"/>
      <c r="F82" s="675"/>
      <c r="G82" s="671"/>
      <c r="H82" s="671"/>
      <c r="I82" s="671"/>
      <c r="J82" s="676"/>
      <c r="K82" s="308" t="s">
        <v>170</v>
      </c>
      <c r="L82" s="677"/>
      <c r="M82" s="671"/>
      <c r="N82" s="675"/>
      <c r="O82" s="675"/>
      <c r="P82" s="678"/>
      <c r="Q82" s="645"/>
      <c r="R82" s="666"/>
      <c r="T82" s="344"/>
      <c r="U82" s="490"/>
      <c r="V82" s="491"/>
      <c r="W82" s="491"/>
      <c r="X82" s="493"/>
      <c r="Y82" s="499"/>
      <c r="Z82" s="500"/>
      <c r="AA82" s="500"/>
      <c r="AB82" s="500"/>
      <c r="AC82" s="353"/>
      <c r="AD82" s="443"/>
    </row>
    <row r="83" spans="1:30" x14ac:dyDescent="0.35">
      <c r="A83" s="813"/>
      <c r="B83" s="747"/>
      <c r="C83" s="680"/>
      <c r="D83" s="639"/>
      <c r="E83" s="641"/>
      <c r="F83" s="633"/>
      <c r="G83" s="631"/>
      <c r="H83" s="631"/>
      <c r="I83" s="631"/>
      <c r="J83" s="663"/>
      <c r="K83" s="308" t="s">
        <v>69</v>
      </c>
      <c r="L83" s="665"/>
      <c r="M83" s="631"/>
      <c r="N83" s="633"/>
      <c r="O83" s="633"/>
      <c r="P83" s="643"/>
      <c r="Q83" s="645"/>
      <c r="R83" s="647"/>
      <c r="T83" s="344"/>
      <c r="U83" s="490"/>
      <c r="V83" s="491"/>
      <c r="W83" s="491"/>
      <c r="X83" s="493"/>
      <c r="Y83" s="499"/>
      <c r="Z83" s="500"/>
      <c r="AA83" s="500"/>
      <c r="AB83" s="500"/>
      <c r="AC83" s="353"/>
      <c r="AD83" s="443"/>
    </row>
    <row r="84" spans="1:30" x14ac:dyDescent="0.35">
      <c r="A84" s="813"/>
      <c r="B84" s="747"/>
      <c r="C84" s="333">
        <v>71</v>
      </c>
      <c r="D84" s="28">
        <v>113.8</v>
      </c>
      <c r="E84" s="29">
        <f t="shared" si="3"/>
        <v>1224.93182</v>
      </c>
      <c r="F84" s="306" t="s">
        <v>9</v>
      </c>
      <c r="G84" s="306"/>
      <c r="H84" s="306"/>
      <c r="I84" s="306"/>
      <c r="J84" s="307"/>
      <c r="K84" s="308" t="s">
        <v>68</v>
      </c>
      <c r="L84" s="309"/>
      <c r="M84" s="306"/>
      <c r="N84" s="306" t="s">
        <v>9</v>
      </c>
      <c r="O84" s="306"/>
      <c r="P84" s="310"/>
      <c r="Q84" s="393" t="s">
        <v>9</v>
      </c>
      <c r="R84" s="404" t="s">
        <v>177</v>
      </c>
      <c r="T84" s="344"/>
      <c r="U84" s="839" t="s">
        <v>210</v>
      </c>
      <c r="V84" s="840"/>
      <c r="W84" s="840"/>
      <c r="X84" s="841"/>
      <c r="Y84" s="438">
        <v>6</v>
      </c>
      <c r="Z84" s="439"/>
      <c r="AA84" s="439"/>
      <c r="AB84" s="439">
        <v>99</v>
      </c>
      <c r="AC84" s="434"/>
      <c r="AD84" s="445">
        <f>SUM(Y84:AC84)</f>
        <v>105</v>
      </c>
    </row>
    <row r="85" spans="1:30" x14ac:dyDescent="0.35">
      <c r="A85" s="813"/>
      <c r="B85" s="747"/>
      <c r="C85" s="333">
        <v>72</v>
      </c>
      <c r="D85" s="28">
        <v>130</v>
      </c>
      <c r="E85" s="29">
        <f t="shared" ref="E85:E91" si="4">SUM(D85*10.7639)</f>
        <v>1399.307</v>
      </c>
      <c r="F85" s="306" t="s">
        <v>9</v>
      </c>
      <c r="G85" s="306"/>
      <c r="H85" s="306"/>
      <c r="I85" s="306"/>
      <c r="J85" s="307"/>
      <c r="K85" s="308" t="s">
        <v>169</v>
      </c>
      <c r="L85" s="309"/>
      <c r="M85" s="306"/>
      <c r="N85" s="306"/>
      <c r="O85" s="306" t="s">
        <v>9</v>
      </c>
      <c r="P85" s="310"/>
      <c r="Q85" s="391" t="s">
        <v>9</v>
      </c>
      <c r="R85" s="404" t="s">
        <v>177</v>
      </c>
      <c r="T85" s="344"/>
      <c r="U85" s="839" t="s">
        <v>212</v>
      </c>
      <c r="V85" s="840"/>
      <c r="W85" s="840"/>
      <c r="X85" s="841"/>
      <c r="Y85" s="438">
        <v>17</v>
      </c>
      <c r="Z85" s="439"/>
      <c r="AA85" s="439"/>
      <c r="AB85" s="439">
        <v>1</v>
      </c>
      <c r="AC85" s="434"/>
      <c r="AD85" s="445">
        <f>SUM(Y85:AC85)</f>
        <v>18</v>
      </c>
    </row>
    <row r="86" spans="1:30" x14ac:dyDescent="0.35">
      <c r="A86" s="813"/>
      <c r="B86" s="747"/>
      <c r="C86" s="474">
        <v>73</v>
      </c>
      <c r="D86" s="28">
        <v>54.1</v>
      </c>
      <c r="E86" s="29">
        <f t="shared" si="4"/>
        <v>582.32699000000002</v>
      </c>
      <c r="F86" s="306"/>
      <c r="G86" s="306"/>
      <c r="H86" s="306" t="s">
        <v>9</v>
      </c>
      <c r="I86" s="306"/>
      <c r="J86" s="307"/>
      <c r="K86" s="308" t="s">
        <v>67</v>
      </c>
      <c r="L86" s="309" t="s">
        <v>9</v>
      </c>
      <c r="M86" s="306"/>
      <c r="N86" s="306"/>
      <c r="O86" s="306"/>
      <c r="P86" s="310"/>
      <c r="Q86" s="391"/>
      <c r="R86" s="403" t="s">
        <v>176</v>
      </c>
      <c r="T86" s="344"/>
      <c r="U86" s="856" t="s">
        <v>209</v>
      </c>
      <c r="V86" s="856"/>
      <c r="W86" s="856"/>
      <c r="X86" s="857"/>
      <c r="Y86" s="436">
        <v>2</v>
      </c>
      <c r="Z86" s="439"/>
      <c r="AA86" s="439"/>
      <c r="AB86" s="439"/>
      <c r="AC86" s="433"/>
      <c r="AD86" s="445">
        <f>SUM(Y86:AC86)</f>
        <v>2</v>
      </c>
    </row>
    <row r="87" spans="1:30" ht="18" thickBot="1" x14ac:dyDescent="0.4">
      <c r="A87" s="813"/>
      <c r="B87" s="747"/>
      <c r="C87" s="474">
        <v>74</v>
      </c>
      <c r="D87" s="28">
        <v>82.4</v>
      </c>
      <c r="E87" s="29">
        <f t="shared" si="4"/>
        <v>886.94536000000005</v>
      </c>
      <c r="F87" s="306"/>
      <c r="G87" s="306"/>
      <c r="H87" s="306" t="s">
        <v>9</v>
      </c>
      <c r="I87" s="306"/>
      <c r="J87" s="307"/>
      <c r="K87" s="308" t="s">
        <v>67</v>
      </c>
      <c r="L87" s="309"/>
      <c r="M87" s="306" t="s">
        <v>9</v>
      </c>
      <c r="N87" s="306"/>
      <c r="O87" s="306"/>
      <c r="P87" s="310"/>
      <c r="Q87" s="391"/>
      <c r="R87" s="403" t="s">
        <v>176</v>
      </c>
      <c r="T87" s="344"/>
      <c r="U87" s="842" t="s">
        <v>213</v>
      </c>
      <c r="V87" s="842"/>
      <c r="W87" s="842"/>
      <c r="X87" s="843"/>
      <c r="Y87" s="354">
        <v>4</v>
      </c>
      <c r="Z87" s="442"/>
      <c r="AA87" s="442"/>
      <c r="AB87" s="442"/>
      <c r="AC87" s="356"/>
      <c r="AD87" s="446">
        <f>SUM(Y87:AC87)</f>
        <v>4</v>
      </c>
    </row>
    <row r="88" spans="1:30" x14ac:dyDescent="0.35">
      <c r="A88" s="813"/>
      <c r="B88" s="747"/>
      <c r="C88" s="474">
        <v>75</v>
      </c>
      <c r="D88" s="28">
        <v>54.1</v>
      </c>
      <c r="E88" s="29">
        <f t="shared" si="4"/>
        <v>582.32699000000002</v>
      </c>
      <c r="F88" s="306"/>
      <c r="G88" s="306"/>
      <c r="H88" s="306" t="s">
        <v>9</v>
      </c>
      <c r="I88" s="306"/>
      <c r="J88" s="307"/>
      <c r="K88" s="308" t="s">
        <v>68</v>
      </c>
      <c r="L88" s="309" t="s">
        <v>9</v>
      </c>
      <c r="M88" s="306"/>
      <c r="N88" s="306"/>
      <c r="O88" s="306"/>
      <c r="P88" s="310"/>
      <c r="Q88" s="391"/>
      <c r="R88" s="403" t="s">
        <v>176</v>
      </c>
    </row>
    <row r="89" spans="1:30" x14ac:dyDescent="0.35">
      <c r="A89" s="813"/>
      <c r="B89" s="747"/>
      <c r="C89" s="474">
        <v>76</v>
      </c>
      <c r="D89" s="28">
        <v>93.3</v>
      </c>
      <c r="E89" s="29">
        <f t="shared" si="4"/>
        <v>1004.2718699999999</v>
      </c>
      <c r="F89" s="306"/>
      <c r="G89" s="306"/>
      <c r="H89" s="306" t="s">
        <v>9</v>
      </c>
      <c r="I89" s="306"/>
      <c r="J89" s="307"/>
      <c r="K89" s="308" t="s">
        <v>68</v>
      </c>
      <c r="L89" s="309"/>
      <c r="M89" s="306"/>
      <c r="N89" s="306" t="s">
        <v>9</v>
      </c>
      <c r="O89" s="306"/>
      <c r="P89" s="310"/>
      <c r="Q89" s="391"/>
      <c r="R89" s="403" t="s">
        <v>176</v>
      </c>
    </row>
    <row r="90" spans="1:30" x14ac:dyDescent="0.35">
      <c r="A90" s="813"/>
      <c r="B90" s="747"/>
      <c r="C90" s="474">
        <v>77</v>
      </c>
      <c r="D90" s="28">
        <v>72.7</v>
      </c>
      <c r="E90" s="29">
        <f t="shared" si="4"/>
        <v>782.53552999999999</v>
      </c>
      <c r="F90" s="306"/>
      <c r="G90" s="306"/>
      <c r="H90" s="306" t="s">
        <v>9</v>
      </c>
      <c r="I90" s="306"/>
      <c r="J90" s="307"/>
      <c r="K90" s="308" t="s">
        <v>68</v>
      </c>
      <c r="L90" s="309"/>
      <c r="M90" s="306" t="s">
        <v>9</v>
      </c>
      <c r="N90" s="306"/>
      <c r="O90" s="306"/>
      <c r="P90" s="310"/>
      <c r="Q90" s="393"/>
      <c r="R90" s="403" t="s">
        <v>176</v>
      </c>
    </row>
    <row r="91" spans="1:30" x14ac:dyDescent="0.35">
      <c r="A91" s="813"/>
      <c r="B91" s="747"/>
      <c r="C91" s="474">
        <v>78</v>
      </c>
      <c r="D91" s="28">
        <v>78.599999999999994</v>
      </c>
      <c r="E91" s="29">
        <f t="shared" si="4"/>
        <v>846.04253999999992</v>
      </c>
      <c r="F91" s="306"/>
      <c r="G91" s="306"/>
      <c r="H91" s="306" t="s">
        <v>9</v>
      </c>
      <c r="I91" s="306"/>
      <c r="J91" s="307"/>
      <c r="K91" s="308" t="s">
        <v>68</v>
      </c>
      <c r="L91" s="309"/>
      <c r="M91" s="306" t="s">
        <v>9</v>
      </c>
      <c r="N91" s="306"/>
      <c r="O91" s="306"/>
      <c r="P91" s="310"/>
      <c r="Q91" s="391" t="s">
        <v>9</v>
      </c>
      <c r="R91" s="403" t="s">
        <v>176</v>
      </c>
    </row>
    <row r="92" spans="1:30" x14ac:dyDescent="0.35">
      <c r="A92" s="813"/>
      <c r="B92" s="747"/>
      <c r="C92" s="333">
        <v>79</v>
      </c>
      <c r="D92" s="28">
        <v>84.7</v>
      </c>
      <c r="E92" s="29">
        <f>SUM(D92*10.7639)</f>
        <v>911.70232999999996</v>
      </c>
      <c r="F92" s="306"/>
      <c r="G92" s="306"/>
      <c r="H92" s="306" t="s">
        <v>9</v>
      </c>
      <c r="I92" s="306"/>
      <c r="J92" s="307"/>
      <c r="K92" s="308" t="s">
        <v>68</v>
      </c>
      <c r="L92" s="309"/>
      <c r="M92" s="306"/>
      <c r="N92" s="306" t="s">
        <v>9</v>
      </c>
      <c r="O92" s="306"/>
      <c r="P92" s="310"/>
      <c r="Q92" s="391"/>
      <c r="R92" s="403" t="s">
        <v>176</v>
      </c>
    </row>
    <row r="93" spans="1:30" x14ac:dyDescent="0.35">
      <c r="A93" s="813"/>
      <c r="B93" s="747"/>
      <c r="C93" s="333">
        <v>80</v>
      </c>
      <c r="D93" s="28">
        <v>84.7</v>
      </c>
      <c r="E93" s="29">
        <f>SUM(D93*10.7639)</f>
        <v>911.70232999999996</v>
      </c>
      <c r="F93" s="306"/>
      <c r="G93" s="306"/>
      <c r="H93" s="306" t="s">
        <v>9</v>
      </c>
      <c r="I93" s="306"/>
      <c r="J93" s="307"/>
      <c r="K93" s="308" t="s">
        <v>68</v>
      </c>
      <c r="L93" s="309"/>
      <c r="M93" s="306"/>
      <c r="N93" s="306" t="s">
        <v>9</v>
      </c>
      <c r="O93" s="306"/>
      <c r="P93" s="310"/>
      <c r="Q93" s="392"/>
      <c r="R93" s="403" t="s">
        <v>176</v>
      </c>
    </row>
    <row r="94" spans="1:30" x14ac:dyDescent="0.35">
      <c r="A94" s="813"/>
      <c r="B94" s="747"/>
      <c r="C94" s="474">
        <v>81</v>
      </c>
      <c r="D94" s="28">
        <v>49.3</v>
      </c>
      <c r="E94" s="29">
        <f t="shared" ref="E94:E174" si="5">SUM(D94*10.7639)</f>
        <v>530.66026999999997</v>
      </c>
      <c r="F94" s="306"/>
      <c r="G94" s="306"/>
      <c r="H94" s="306" t="s">
        <v>9</v>
      </c>
      <c r="I94" s="306"/>
      <c r="J94" s="307"/>
      <c r="K94" s="308" t="s">
        <v>68</v>
      </c>
      <c r="L94" s="309" t="s">
        <v>9</v>
      </c>
      <c r="M94" s="306"/>
      <c r="N94" s="306"/>
      <c r="O94" s="306"/>
      <c r="P94" s="310"/>
      <c r="Q94" s="392"/>
      <c r="R94" s="403" t="s">
        <v>176</v>
      </c>
    </row>
    <row r="95" spans="1:30" x14ac:dyDescent="0.35">
      <c r="A95" s="813"/>
      <c r="B95" s="747"/>
      <c r="C95" s="474">
        <v>82</v>
      </c>
      <c r="D95" s="28">
        <v>72.7</v>
      </c>
      <c r="E95" s="29">
        <f t="shared" si="5"/>
        <v>782.53552999999999</v>
      </c>
      <c r="F95" s="306"/>
      <c r="G95" s="306"/>
      <c r="H95" s="306" t="s">
        <v>9</v>
      </c>
      <c r="I95" s="306"/>
      <c r="J95" s="307"/>
      <c r="K95" s="308" t="s">
        <v>67</v>
      </c>
      <c r="L95" s="309"/>
      <c r="M95" s="306" t="s">
        <v>9</v>
      </c>
      <c r="N95" s="306"/>
      <c r="O95" s="306"/>
      <c r="P95" s="310"/>
      <c r="Q95" s="393"/>
      <c r="R95" s="403" t="s">
        <v>176</v>
      </c>
    </row>
    <row r="96" spans="1:30" ht="17.25" customHeight="1" x14ac:dyDescent="0.35">
      <c r="A96" s="813"/>
      <c r="B96" s="747"/>
      <c r="C96" s="474">
        <v>83</v>
      </c>
      <c r="D96" s="28">
        <v>78</v>
      </c>
      <c r="E96" s="29">
        <f t="shared" si="5"/>
        <v>839.58420000000001</v>
      </c>
      <c r="F96" s="306" t="s">
        <v>9</v>
      </c>
      <c r="G96" s="306"/>
      <c r="H96" s="306"/>
      <c r="I96" s="306"/>
      <c r="J96" s="307"/>
      <c r="K96" s="308" t="s">
        <v>67</v>
      </c>
      <c r="L96" s="309"/>
      <c r="M96" s="306" t="s">
        <v>9</v>
      </c>
      <c r="N96" s="306"/>
      <c r="O96" s="306"/>
      <c r="P96" s="310"/>
      <c r="Q96" s="391"/>
      <c r="R96" s="403" t="s">
        <v>176</v>
      </c>
    </row>
    <row r="97" spans="1:18" x14ac:dyDescent="0.35">
      <c r="A97" s="813"/>
      <c r="B97" s="747"/>
      <c r="C97" s="474">
        <v>84</v>
      </c>
      <c r="D97" s="28">
        <v>90.2</v>
      </c>
      <c r="E97" s="29">
        <f t="shared" si="5"/>
        <v>970.90377999999998</v>
      </c>
      <c r="F97" s="306" t="s">
        <v>9</v>
      </c>
      <c r="G97" s="306"/>
      <c r="H97" s="306"/>
      <c r="I97" s="306"/>
      <c r="J97" s="307"/>
      <c r="K97" s="308" t="s">
        <v>67</v>
      </c>
      <c r="L97" s="309"/>
      <c r="M97" s="306" t="s">
        <v>9</v>
      </c>
      <c r="N97" s="306"/>
      <c r="O97" s="306"/>
      <c r="P97" s="310"/>
      <c r="Q97" s="392"/>
      <c r="R97" s="403" t="s">
        <v>176</v>
      </c>
    </row>
    <row r="98" spans="1:18" x14ac:dyDescent="0.35">
      <c r="A98" s="813"/>
      <c r="B98" s="747"/>
      <c r="C98" s="474">
        <v>85</v>
      </c>
      <c r="D98" s="28">
        <v>78</v>
      </c>
      <c r="E98" s="29">
        <f t="shared" si="5"/>
        <v>839.58420000000001</v>
      </c>
      <c r="F98" s="306" t="s">
        <v>9</v>
      </c>
      <c r="G98" s="306"/>
      <c r="H98" s="306"/>
      <c r="I98" s="306"/>
      <c r="J98" s="307"/>
      <c r="K98" s="308" t="s">
        <v>67</v>
      </c>
      <c r="L98" s="309"/>
      <c r="M98" s="306" t="s">
        <v>9</v>
      </c>
      <c r="N98" s="306"/>
      <c r="O98" s="306"/>
      <c r="P98" s="310"/>
      <c r="Q98" s="392"/>
      <c r="R98" s="403" t="s">
        <v>176</v>
      </c>
    </row>
    <row r="99" spans="1:18" x14ac:dyDescent="0.35">
      <c r="A99" s="813"/>
      <c r="B99" s="748"/>
      <c r="C99" s="474">
        <v>86</v>
      </c>
      <c r="D99" s="28">
        <v>78</v>
      </c>
      <c r="E99" s="29">
        <f t="shared" si="5"/>
        <v>839.58420000000001</v>
      </c>
      <c r="F99" s="306" t="s">
        <v>9</v>
      </c>
      <c r="G99" s="306"/>
      <c r="H99" s="306"/>
      <c r="I99" s="306"/>
      <c r="J99" s="307"/>
      <c r="K99" s="308" t="s">
        <v>67</v>
      </c>
      <c r="L99" s="309"/>
      <c r="M99" s="306" t="s">
        <v>9</v>
      </c>
      <c r="N99" s="306"/>
      <c r="O99" s="306"/>
      <c r="P99" s="310"/>
      <c r="Q99" s="393"/>
      <c r="R99" s="403" t="s">
        <v>176</v>
      </c>
    </row>
    <row r="100" spans="1:18" x14ac:dyDescent="0.35">
      <c r="A100" s="813"/>
      <c r="B100" s="750" t="s">
        <v>129</v>
      </c>
      <c r="C100" s="636">
        <v>87</v>
      </c>
      <c r="D100" s="638">
        <v>99.1</v>
      </c>
      <c r="E100" s="640">
        <f t="shared" si="5"/>
        <v>1066.7024899999999</v>
      </c>
      <c r="F100" s="632" t="s">
        <v>9</v>
      </c>
      <c r="G100" s="630"/>
      <c r="H100" s="630"/>
      <c r="I100" s="630"/>
      <c r="J100" s="662"/>
      <c r="K100" s="308" t="s">
        <v>169</v>
      </c>
      <c r="L100" s="664"/>
      <c r="M100" s="630"/>
      <c r="N100" s="632" t="s">
        <v>9</v>
      </c>
      <c r="O100" s="632"/>
      <c r="P100" s="642"/>
      <c r="Q100" s="644"/>
      <c r="R100" s="646" t="s">
        <v>177</v>
      </c>
    </row>
    <row r="101" spans="1:18" x14ac:dyDescent="0.35">
      <c r="A101" s="813"/>
      <c r="B101" s="751"/>
      <c r="C101" s="637"/>
      <c r="D101" s="639"/>
      <c r="E101" s="641"/>
      <c r="F101" s="633"/>
      <c r="G101" s="631"/>
      <c r="H101" s="631"/>
      <c r="I101" s="631"/>
      <c r="J101" s="663"/>
      <c r="K101" s="308" t="s">
        <v>69</v>
      </c>
      <c r="L101" s="665"/>
      <c r="M101" s="631"/>
      <c r="N101" s="633"/>
      <c r="O101" s="633"/>
      <c r="P101" s="643"/>
      <c r="Q101" s="645"/>
      <c r="R101" s="647"/>
    </row>
    <row r="102" spans="1:18" x14ac:dyDescent="0.35">
      <c r="A102" s="813"/>
      <c r="B102" s="751"/>
      <c r="C102" s="636">
        <v>88</v>
      </c>
      <c r="D102" s="638">
        <v>131.4</v>
      </c>
      <c r="E102" s="640">
        <f t="shared" si="5"/>
        <v>1414.37646</v>
      </c>
      <c r="F102" s="632" t="s">
        <v>9</v>
      </c>
      <c r="G102" s="630"/>
      <c r="H102" s="630"/>
      <c r="I102" s="630"/>
      <c r="J102" s="662"/>
      <c r="K102" s="308" t="s">
        <v>170</v>
      </c>
      <c r="L102" s="664"/>
      <c r="M102" s="630"/>
      <c r="N102" s="630"/>
      <c r="O102" s="632" t="s">
        <v>9</v>
      </c>
      <c r="P102" s="642"/>
      <c r="Q102" s="645" t="s">
        <v>9</v>
      </c>
      <c r="R102" s="646" t="s">
        <v>177</v>
      </c>
    </row>
    <row r="103" spans="1:18" x14ac:dyDescent="0.35">
      <c r="A103" s="813"/>
      <c r="B103" s="751"/>
      <c r="C103" s="637"/>
      <c r="D103" s="639"/>
      <c r="E103" s="641"/>
      <c r="F103" s="633"/>
      <c r="G103" s="631"/>
      <c r="H103" s="631"/>
      <c r="I103" s="631"/>
      <c r="J103" s="663"/>
      <c r="K103" s="308" t="s">
        <v>169</v>
      </c>
      <c r="L103" s="665"/>
      <c r="M103" s="631"/>
      <c r="N103" s="631"/>
      <c r="O103" s="633"/>
      <c r="P103" s="643"/>
      <c r="Q103" s="652"/>
      <c r="R103" s="647"/>
    </row>
    <row r="104" spans="1:18" x14ac:dyDescent="0.35">
      <c r="A104" s="813"/>
      <c r="B104" s="751"/>
      <c r="C104" s="474">
        <v>89</v>
      </c>
      <c r="D104" s="28">
        <v>131.4</v>
      </c>
      <c r="E104" s="29">
        <f t="shared" si="5"/>
        <v>1414.37646</v>
      </c>
      <c r="F104" s="306" t="s">
        <v>9</v>
      </c>
      <c r="G104" s="306"/>
      <c r="H104" s="306"/>
      <c r="I104" s="306"/>
      <c r="J104" s="307"/>
      <c r="K104" s="308" t="s">
        <v>169</v>
      </c>
      <c r="L104" s="309"/>
      <c r="M104" s="306"/>
      <c r="N104" s="306"/>
      <c r="O104" s="306" t="s">
        <v>9</v>
      </c>
      <c r="P104" s="310"/>
      <c r="Q104" s="391" t="s">
        <v>9</v>
      </c>
      <c r="R104" s="404" t="s">
        <v>177</v>
      </c>
    </row>
    <row r="105" spans="1:18" x14ac:dyDescent="0.35">
      <c r="A105" s="813"/>
      <c r="B105" s="751"/>
      <c r="C105" s="474">
        <v>90</v>
      </c>
      <c r="D105" s="28">
        <v>77.099999999999994</v>
      </c>
      <c r="E105" s="29">
        <f t="shared" si="5"/>
        <v>829.89668999999992</v>
      </c>
      <c r="F105" s="306" t="s">
        <v>9</v>
      </c>
      <c r="G105" s="306"/>
      <c r="H105" s="306"/>
      <c r="I105" s="306"/>
      <c r="J105" s="307"/>
      <c r="K105" s="308" t="s">
        <v>169</v>
      </c>
      <c r="L105" s="309"/>
      <c r="M105" s="306" t="s">
        <v>9</v>
      </c>
      <c r="N105" s="306"/>
      <c r="O105" s="306"/>
      <c r="P105" s="310"/>
      <c r="Q105" s="391"/>
      <c r="R105" s="404" t="s">
        <v>177</v>
      </c>
    </row>
    <row r="106" spans="1:18" x14ac:dyDescent="0.35">
      <c r="A106" s="813"/>
      <c r="B106" s="751"/>
      <c r="C106" s="474">
        <v>91</v>
      </c>
      <c r="D106" s="28">
        <v>70</v>
      </c>
      <c r="E106" s="29">
        <f>SUM(D106*10.7639)</f>
        <v>753.47299999999996</v>
      </c>
      <c r="F106" s="306" t="s">
        <v>9</v>
      </c>
      <c r="G106" s="306"/>
      <c r="H106" s="306"/>
      <c r="I106" s="306"/>
      <c r="J106" s="307"/>
      <c r="K106" s="308" t="s">
        <v>169</v>
      </c>
      <c r="L106" s="309"/>
      <c r="M106" s="306" t="s">
        <v>9</v>
      </c>
      <c r="N106" s="306"/>
      <c r="O106" s="306"/>
      <c r="P106" s="310"/>
      <c r="Q106" s="392"/>
      <c r="R106" s="404" t="s">
        <v>177</v>
      </c>
    </row>
    <row r="107" spans="1:18" x14ac:dyDescent="0.35">
      <c r="A107" s="813"/>
      <c r="B107" s="751"/>
      <c r="C107" s="474">
        <v>92</v>
      </c>
      <c r="D107" s="28">
        <v>70</v>
      </c>
      <c r="E107" s="29">
        <f t="shared" si="5"/>
        <v>753.47299999999996</v>
      </c>
      <c r="F107" s="306" t="s">
        <v>9</v>
      </c>
      <c r="G107" s="306"/>
      <c r="H107" s="306"/>
      <c r="I107" s="306"/>
      <c r="J107" s="307"/>
      <c r="K107" s="308" t="s">
        <v>169</v>
      </c>
      <c r="L107" s="309"/>
      <c r="M107" s="306" t="s">
        <v>9</v>
      </c>
      <c r="N107" s="306"/>
      <c r="O107" s="306"/>
      <c r="P107" s="310"/>
      <c r="Q107" s="393"/>
      <c r="R107" s="404" t="s">
        <v>177</v>
      </c>
    </row>
    <row r="108" spans="1:18" x14ac:dyDescent="0.35">
      <c r="A108" s="813"/>
      <c r="B108" s="751"/>
      <c r="C108" s="474">
        <v>93</v>
      </c>
      <c r="D108" s="28">
        <v>76.599999999999994</v>
      </c>
      <c r="E108" s="29">
        <f t="shared" si="5"/>
        <v>824.51473999999996</v>
      </c>
      <c r="F108" s="306" t="s">
        <v>9</v>
      </c>
      <c r="G108" s="306"/>
      <c r="H108" s="306"/>
      <c r="I108" s="306"/>
      <c r="J108" s="307"/>
      <c r="K108" s="308" t="s">
        <v>68</v>
      </c>
      <c r="L108" s="309"/>
      <c r="M108" s="306" t="s">
        <v>9</v>
      </c>
      <c r="N108" s="306"/>
      <c r="O108" s="306"/>
      <c r="P108" s="310"/>
      <c r="Q108" s="391" t="s">
        <v>9</v>
      </c>
      <c r="R108" s="403" t="s">
        <v>176</v>
      </c>
    </row>
    <row r="109" spans="1:18" x14ac:dyDescent="0.35">
      <c r="A109" s="813"/>
      <c r="B109" s="751"/>
      <c r="C109" s="636">
        <v>94</v>
      </c>
      <c r="D109" s="638">
        <v>74.2</v>
      </c>
      <c r="E109" s="640">
        <f t="shared" si="5"/>
        <v>798.68137999999999</v>
      </c>
      <c r="F109" s="632" t="s">
        <v>9</v>
      </c>
      <c r="G109" s="630"/>
      <c r="H109" s="630"/>
      <c r="I109" s="630"/>
      <c r="J109" s="662"/>
      <c r="K109" s="308" t="s">
        <v>67</v>
      </c>
      <c r="L109" s="664"/>
      <c r="M109" s="632" t="s">
        <v>9</v>
      </c>
      <c r="N109" s="632"/>
      <c r="O109" s="632"/>
      <c r="P109" s="642"/>
      <c r="Q109" s="644"/>
      <c r="R109" s="666" t="s">
        <v>176</v>
      </c>
    </row>
    <row r="110" spans="1:18" x14ac:dyDescent="0.35">
      <c r="A110" s="813"/>
      <c r="B110" s="751"/>
      <c r="C110" s="637"/>
      <c r="D110" s="639"/>
      <c r="E110" s="641"/>
      <c r="F110" s="633"/>
      <c r="G110" s="631"/>
      <c r="H110" s="631"/>
      <c r="I110" s="631"/>
      <c r="J110" s="663"/>
      <c r="K110" s="308" t="s">
        <v>224</v>
      </c>
      <c r="L110" s="665"/>
      <c r="M110" s="633"/>
      <c r="N110" s="633"/>
      <c r="O110" s="633"/>
      <c r="P110" s="643"/>
      <c r="Q110" s="652"/>
      <c r="R110" s="666"/>
    </row>
    <row r="111" spans="1:18" x14ac:dyDescent="0.35">
      <c r="A111" s="813"/>
      <c r="B111" s="751"/>
      <c r="C111" s="474">
        <v>95</v>
      </c>
      <c r="D111" s="28">
        <v>80.3</v>
      </c>
      <c r="E111" s="29">
        <f t="shared" si="5"/>
        <v>864.34116999999992</v>
      </c>
      <c r="F111" s="306" t="s">
        <v>9</v>
      </c>
      <c r="G111" s="306"/>
      <c r="H111" s="306"/>
      <c r="I111" s="306"/>
      <c r="J111" s="307"/>
      <c r="K111" s="308" t="s">
        <v>67</v>
      </c>
      <c r="L111" s="309"/>
      <c r="M111" s="306" t="s">
        <v>9</v>
      </c>
      <c r="N111" s="306"/>
      <c r="O111" s="306"/>
      <c r="P111" s="310"/>
      <c r="Q111" s="391"/>
      <c r="R111" s="403" t="s">
        <v>176</v>
      </c>
    </row>
    <row r="112" spans="1:18" x14ac:dyDescent="0.35">
      <c r="A112" s="813"/>
      <c r="B112" s="751"/>
      <c r="C112" s="636">
        <v>96</v>
      </c>
      <c r="D112" s="638">
        <v>81</v>
      </c>
      <c r="E112" s="640">
        <f t="shared" si="5"/>
        <v>871.8759</v>
      </c>
      <c r="F112" s="632" t="s">
        <v>9</v>
      </c>
      <c r="G112" s="630"/>
      <c r="H112" s="630"/>
      <c r="I112" s="630"/>
      <c r="J112" s="662"/>
      <c r="K112" s="308" t="s">
        <v>66</v>
      </c>
      <c r="L112" s="664"/>
      <c r="M112" s="630"/>
      <c r="N112" s="632" t="s">
        <v>9</v>
      </c>
      <c r="O112" s="632"/>
      <c r="P112" s="642"/>
      <c r="Q112" s="644"/>
      <c r="R112" s="646" t="s">
        <v>177</v>
      </c>
    </row>
    <row r="113" spans="1:18" x14ac:dyDescent="0.35">
      <c r="A113" s="813"/>
      <c r="B113" s="751"/>
      <c r="C113" s="637"/>
      <c r="D113" s="639"/>
      <c r="E113" s="641"/>
      <c r="F113" s="633"/>
      <c r="G113" s="631"/>
      <c r="H113" s="631"/>
      <c r="I113" s="631"/>
      <c r="J113" s="663"/>
      <c r="K113" s="308" t="s">
        <v>67</v>
      </c>
      <c r="L113" s="665"/>
      <c r="M113" s="631"/>
      <c r="N113" s="633"/>
      <c r="O113" s="633"/>
      <c r="P113" s="643"/>
      <c r="Q113" s="652"/>
      <c r="R113" s="647"/>
    </row>
    <row r="114" spans="1:18" x14ac:dyDescent="0.35">
      <c r="A114" s="813"/>
      <c r="B114" s="751"/>
      <c r="C114" s="636">
        <v>97</v>
      </c>
      <c r="D114" s="638">
        <v>93.4</v>
      </c>
      <c r="E114" s="640">
        <f t="shared" si="5"/>
        <v>1005.34826</v>
      </c>
      <c r="F114" s="632" t="s">
        <v>9</v>
      </c>
      <c r="G114" s="630"/>
      <c r="H114" s="630"/>
      <c r="I114" s="630"/>
      <c r="J114" s="662"/>
      <c r="K114" s="308" t="s">
        <v>66</v>
      </c>
      <c r="L114" s="664"/>
      <c r="M114" s="630"/>
      <c r="N114" s="632" t="s">
        <v>9</v>
      </c>
      <c r="O114" s="632"/>
      <c r="P114" s="642"/>
      <c r="Q114" s="644"/>
      <c r="R114" s="646" t="s">
        <v>177</v>
      </c>
    </row>
    <row r="115" spans="1:18" x14ac:dyDescent="0.35">
      <c r="A115" s="813"/>
      <c r="B115" s="751"/>
      <c r="C115" s="672"/>
      <c r="D115" s="673"/>
      <c r="E115" s="674"/>
      <c r="F115" s="675"/>
      <c r="G115" s="671"/>
      <c r="H115" s="671"/>
      <c r="I115" s="671"/>
      <c r="J115" s="676"/>
      <c r="K115" s="308" t="s">
        <v>67</v>
      </c>
      <c r="L115" s="677"/>
      <c r="M115" s="671"/>
      <c r="N115" s="675"/>
      <c r="O115" s="675"/>
      <c r="P115" s="678"/>
      <c r="Q115" s="645"/>
      <c r="R115" s="666"/>
    </row>
    <row r="116" spans="1:18" x14ac:dyDescent="0.35">
      <c r="A116" s="813"/>
      <c r="B116" s="751"/>
      <c r="C116" s="637"/>
      <c r="D116" s="639"/>
      <c r="E116" s="641"/>
      <c r="F116" s="633"/>
      <c r="G116" s="631"/>
      <c r="H116" s="631"/>
      <c r="I116" s="631"/>
      <c r="J116" s="663"/>
      <c r="K116" s="308" t="s">
        <v>224</v>
      </c>
      <c r="L116" s="665"/>
      <c r="M116" s="631"/>
      <c r="N116" s="633"/>
      <c r="O116" s="633"/>
      <c r="P116" s="643"/>
      <c r="Q116" s="652"/>
      <c r="R116" s="647"/>
    </row>
    <row r="117" spans="1:18" x14ac:dyDescent="0.35">
      <c r="A117" s="813"/>
      <c r="B117" s="751"/>
      <c r="C117" s="636">
        <v>98</v>
      </c>
      <c r="D117" s="638">
        <v>179.6</v>
      </c>
      <c r="E117" s="640">
        <f t="shared" si="5"/>
        <v>1933.1964399999999</v>
      </c>
      <c r="F117" s="632" t="s">
        <v>9</v>
      </c>
      <c r="G117" s="630"/>
      <c r="H117" s="630"/>
      <c r="I117" s="630"/>
      <c r="J117" s="662"/>
      <c r="K117" s="308" t="s">
        <v>170</v>
      </c>
      <c r="L117" s="664"/>
      <c r="M117" s="630"/>
      <c r="N117" s="630"/>
      <c r="O117" s="632" t="s">
        <v>9</v>
      </c>
      <c r="P117" s="642"/>
      <c r="Q117" s="644" t="s">
        <v>9</v>
      </c>
      <c r="R117" s="646" t="s">
        <v>178</v>
      </c>
    </row>
    <row r="118" spans="1:18" x14ac:dyDescent="0.35">
      <c r="A118" s="813"/>
      <c r="B118" s="751"/>
      <c r="C118" s="637"/>
      <c r="D118" s="639"/>
      <c r="E118" s="641"/>
      <c r="F118" s="633"/>
      <c r="G118" s="631"/>
      <c r="H118" s="631"/>
      <c r="I118" s="631"/>
      <c r="J118" s="663"/>
      <c r="K118" s="308" t="s">
        <v>169</v>
      </c>
      <c r="L118" s="665"/>
      <c r="M118" s="631"/>
      <c r="N118" s="631"/>
      <c r="O118" s="633"/>
      <c r="P118" s="643"/>
      <c r="Q118" s="652"/>
      <c r="R118" s="647"/>
    </row>
    <row r="119" spans="1:18" x14ac:dyDescent="0.35">
      <c r="A119" s="813"/>
      <c r="B119" s="751"/>
      <c r="C119" s="636">
        <v>99</v>
      </c>
      <c r="D119" s="638">
        <v>83.1</v>
      </c>
      <c r="E119" s="640">
        <f t="shared" si="5"/>
        <v>894.4800899999999</v>
      </c>
      <c r="F119" s="632" t="s">
        <v>9</v>
      </c>
      <c r="G119" s="630"/>
      <c r="H119" s="630"/>
      <c r="I119" s="630"/>
      <c r="J119" s="662"/>
      <c r="K119" s="308" t="s">
        <v>66</v>
      </c>
      <c r="L119" s="664"/>
      <c r="M119" s="630"/>
      <c r="N119" s="632" t="s">
        <v>9</v>
      </c>
      <c r="O119" s="632"/>
      <c r="P119" s="642"/>
      <c r="Q119" s="644"/>
      <c r="R119" s="646" t="s">
        <v>177</v>
      </c>
    </row>
    <row r="120" spans="1:18" x14ac:dyDescent="0.35">
      <c r="A120" s="813"/>
      <c r="B120" s="751"/>
      <c r="C120" s="637"/>
      <c r="D120" s="639"/>
      <c r="E120" s="641"/>
      <c r="F120" s="633"/>
      <c r="G120" s="631"/>
      <c r="H120" s="631"/>
      <c r="I120" s="631"/>
      <c r="J120" s="663"/>
      <c r="K120" s="308" t="s">
        <v>67</v>
      </c>
      <c r="L120" s="665"/>
      <c r="M120" s="671"/>
      <c r="N120" s="633"/>
      <c r="O120" s="633"/>
      <c r="P120" s="643"/>
      <c r="Q120" s="652"/>
      <c r="R120" s="647"/>
    </row>
    <row r="121" spans="1:18" x14ac:dyDescent="0.35">
      <c r="A121" s="813"/>
      <c r="B121" s="751"/>
      <c r="C121" s="474">
        <v>100</v>
      </c>
      <c r="D121" s="28">
        <v>95</v>
      </c>
      <c r="E121" s="29">
        <f t="shared" si="5"/>
        <v>1022.5704999999999</v>
      </c>
      <c r="F121" s="306" t="s">
        <v>9</v>
      </c>
      <c r="G121" s="306"/>
      <c r="H121" s="306"/>
      <c r="I121" s="306"/>
      <c r="J121" s="307"/>
      <c r="K121" s="308" t="s">
        <v>169</v>
      </c>
      <c r="L121" s="309"/>
      <c r="M121" s="475" t="s">
        <v>9</v>
      </c>
      <c r="N121" s="306"/>
      <c r="O121" s="306"/>
      <c r="P121" s="310"/>
      <c r="Q121" s="391"/>
      <c r="R121" s="404" t="s">
        <v>177</v>
      </c>
    </row>
    <row r="122" spans="1:18" x14ac:dyDescent="0.35">
      <c r="A122" s="813"/>
      <c r="B122" s="751"/>
      <c r="C122" s="474">
        <v>101</v>
      </c>
      <c r="D122" s="28">
        <v>95</v>
      </c>
      <c r="E122" s="29">
        <f t="shared" si="5"/>
        <v>1022.5704999999999</v>
      </c>
      <c r="F122" s="306" t="s">
        <v>9</v>
      </c>
      <c r="G122" s="306"/>
      <c r="H122" s="306"/>
      <c r="I122" s="306"/>
      <c r="J122" s="307"/>
      <c r="K122" s="308" t="s">
        <v>169</v>
      </c>
      <c r="L122" s="309"/>
      <c r="M122" s="475" t="s">
        <v>9</v>
      </c>
      <c r="N122" s="306"/>
      <c r="O122" s="306"/>
      <c r="P122" s="310"/>
      <c r="Q122" s="391"/>
      <c r="R122" s="404" t="s">
        <v>177</v>
      </c>
    </row>
    <row r="123" spans="1:18" x14ac:dyDescent="0.35">
      <c r="A123" s="813"/>
      <c r="B123" s="751"/>
      <c r="C123" s="636">
        <v>102</v>
      </c>
      <c r="D123" s="638">
        <v>83.1</v>
      </c>
      <c r="E123" s="640">
        <f t="shared" si="5"/>
        <v>894.4800899999999</v>
      </c>
      <c r="F123" s="632" t="s">
        <v>9</v>
      </c>
      <c r="G123" s="630"/>
      <c r="H123" s="630"/>
      <c r="I123" s="630"/>
      <c r="J123" s="662"/>
      <c r="K123" s="308" t="s">
        <v>66</v>
      </c>
      <c r="L123" s="664"/>
      <c r="M123" s="630"/>
      <c r="N123" s="632" t="s">
        <v>9</v>
      </c>
      <c r="O123" s="632"/>
      <c r="P123" s="642"/>
      <c r="Q123" s="644"/>
      <c r="R123" s="646" t="s">
        <v>177</v>
      </c>
    </row>
    <row r="124" spans="1:18" x14ac:dyDescent="0.35">
      <c r="A124" s="813"/>
      <c r="B124" s="751"/>
      <c r="C124" s="637"/>
      <c r="D124" s="639"/>
      <c r="E124" s="641"/>
      <c r="F124" s="633"/>
      <c r="G124" s="631"/>
      <c r="H124" s="631"/>
      <c r="I124" s="631"/>
      <c r="J124" s="663"/>
      <c r="K124" s="308" t="s">
        <v>67</v>
      </c>
      <c r="L124" s="665"/>
      <c r="M124" s="631"/>
      <c r="N124" s="633"/>
      <c r="O124" s="633"/>
      <c r="P124" s="643"/>
      <c r="Q124" s="652"/>
      <c r="R124" s="647"/>
    </row>
    <row r="125" spans="1:18" x14ac:dyDescent="0.35">
      <c r="A125" s="813"/>
      <c r="B125" s="751"/>
      <c r="C125" s="474">
        <v>103</v>
      </c>
      <c r="D125" s="28">
        <v>103.6</v>
      </c>
      <c r="E125" s="29">
        <f t="shared" si="5"/>
        <v>1115.14004</v>
      </c>
      <c r="F125" s="306" t="s">
        <v>9</v>
      </c>
      <c r="G125" s="306"/>
      <c r="H125" s="306"/>
      <c r="I125" s="306"/>
      <c r="J125" s="307"/>
      <c r="K125" s="308" t="s">
        <v>66</v>
      </c>
      <c r="L125" s="309"/>
      <c r="M125" s="306"/>
      <c r="N125" s="306" t="s">
        <v>9</v>
      </c>
      <c r="O125" s="306"/>
      <c r="P125" s="310"/>
      <c r="Q125" s="391"/>
      <c r="R125" s="404" t="s">
        <v>177</v>
      </c>
    </row>
    <row r="126" spans="1:18" x14ac:dyDescent="0.35">
      <c r="A126" s="813"/>
      <c r="B126" s="751"/>
      <c r="C126" s="474">
        <v>104</v>
      </c>
      <c r="D126" s="28">
        <v>94.4</v>
      </c>
      <c r="E126" s="29">
        <f t="shared" si="5"/>
        <v>1016.11216</v>
      </c>
      <c r="F126" s="306" t="s">
        <v>9</v>
      </c>
      <c r="G126" s="306"/>
      <c r="H126" s="306"/>
      <c r="I126" s="306"/>
      <c r="J126" s="307"/>
      <c r="K126" s="308" t="s">
        <v>68</v>
      </c>
      <c r="L126" s="309"/>
      <c r="M126" s="306" t="s">
        <v>9</v>
      </c>
      <c r="N126" s="306"/>
      <c r="O126" s="306"/>
      <c r="P126" s="310"/>
      <c r="Q126" s="393"/>
      <c r="R126" s="403" t="s">
        <v>176</v>
      </c>
    </row>
    <row r="127" spans="1:18" x14ac:dyDescent="0.35">
      <c r="A127" s="813"/>
      <c r="B127" s="751"/>
      <c r="C127" s="636">
        <v>105</v>
      </c>
      <c r="D127" s="638">
        <v>120.7</v>
      </c>
      <c r="E127" s="640">
        <f t="shared" si="5"/>
        <v>1299.20273</v>
      </c>
      <c r="F127" s="632" t="s">
        <v>9</v>
      </c>
      <c r="G127" s="630"/>
      <c r="H127" s="630"/>
      <c r="I127" s="630"/>
      <c r="J127" s="662"/>
      <c r="K127" s="308" t="s">
        <v>66</v>
      </c>
      <c r="L127" s="664"/>
      <c r="M127" s="630"/>
      <c r="N127" s="630"/>
      <c r="O127" s="632" t="s">
        <v>9</v>
      </c>
      <c r="P127" s="642"/>
      <c r="Q127" s="644"/>
      <c r="R127" s="646" t="s">
        <v>177</v>
      </c>
    </row>
    <row r="128" spans="1:18" x14ac:dyDescent="0.35">
      <c r="A128" s="813"/>
      <c r="B128" s="751"/>
      <c r="C128" s="637"/>
      <c r="D128" s="639"/>
      <c r="E128" s="641"/>
      <c r="F128" s="633"/>
      <c r="G128" s="631"/>
      <c r="H128" s="631"/>
      <c r="I128" s="631"/>
      <c r="J128" s="663"/>
      <c r="K128" s="308" t="s">
        <v>169</v>
      </c>
      <c r="L128" s="665"/>
      <c r="M128" s="631"/>
      <c r="N128" s="631"/>
      <c r="O128" s="633"/>
      <c r="P128" s="643"/>
      <c r="Q128" s="645"/>
      <c r="R128" s="647"/>
    </row>
    <row r="129" spans="1:18" x14ac:dyDescent="0.35">
      <c r="A129" s="813"/>
      <c r="B129" s="751"/>
      <c r="C129" s="474">
        <v>106</v>
      </c>
      <c r="D129" s="28">
        <v>89.4</v>
      </c>
      <c r="E129" s="29">
        <f t="shared" si="5"/>
        <v>962.29266000000007</v>
      </c>
      <c r="F129" s="306" t="s">
        <v>9</v>
      </c>
      <c r="G129" s="306"/>
      <c r="H129" s="306"/>
      <c r="I129" s="306"/>
      <c r="J129" s="307"/>
      <c r="K129" s="308" t="s">
        <v>66</v>
      </c>
      <c r="L129" s="309"/>
      <c r="M129" s="306"/>
      <c r="N129" s="306" t="s">
        <v>9</v>
      </c>
      <c r="O129" s="306"/>
      <c r="P129" s="310"/>
      <c r="Q129" s="393"/>
      <c r="R129" s="404" t="s">
        <v>177</v>
      </c>
    </row>
    <row r="130" spans="1:18" x14ac:dyDescent="0.35">
      <c r="A130" s="813"/>
      <c r="B130" s="751"/>
      <c r="C130" s="474">
        <v>107</v>
      </c>
      <c r="D130" s="28">
        <v>82.5</v>
      </c>
      <c r="E130" s="29">
        <f t="shared" si="5"/>
        <v>888.02175</v>
      </c>
      <c r="F130" s="306"/>
      <c r="G130" s="306" t="s">
        <v>9</v>
      </c>
      <c r="H130" s="306"/>
      <c r="I130" s="306"/>
      <c r="J130" s="307"/>
      <c r="K130" s="308" t="s">
        <v>169</v>
      </c>
      <c r="L130" s="309"/>
      <c r="M130" s="306" t="s">
        <v>9</v>
      </c>
      <c r="N130" s="306"/>
      <c r="O130" s="306"/>
      <c r="P130" s="310"/>
      <c r="Q130" s="391"/>
      <c r="R130" s="403" t="s">
        <v>176</v>
      </c>
    </row>
    <row r="131" spans="1:18" x14ac:dyDescent="0.35">
      <c r="A131" s="813"/>
      <c r="B131" s="751"/>
      <c r="C131" s="474">
        <v>108</v>
      </c>
      <c r="D131" s="28">
        <v>108</v>
      </c>
      <c r="E131" s="29">
        <f t="shared" si="5"/>
        <v>1162.5011999999999</v>
      </c>
      <c r="F131" s="306" t="s">
        <v>9</v>
      </c>
      <c r="G131" s="306"/>
      <c r="H131" s="306"/>
      <c r="I131" s="306"/>
      <c r="J131" s="307"/>
      <c r="K131" s="308" t="s">
        <v>169</v>
      </c>
      <c r="L131" s="309"/>
      <c r="M131" s="306"/>
      <c r="N131" s="306" t="s">
        <v>9</v>
      </c>
      <c r="O131" s="306"/>
      <c r="P131" s="310"/>
      <c r="Q131" s="392" t="s">
        <v>9</v>
      </c>
      <c r="R131" s="404" t="s">
        <v>177</v>
      </c>
    </row>
    <row r="132" spans="1:18" x14ac:dyDescent="0.35">
      <c r="A132" s="813"/>
      <c r="B132" s="751"/>
      <c r="C132" s="474">
        <v>109</v>
      </c>
      <c r="D132" s="28">
        <v>108</v>
      </c>
      <c r="E132" s="29">
        <f t="shared" si="5"/>
        <v>1162.5011999999999</v>
      </c>
      <c r="F132" s="306" t="s">
        <v>9</v>
      </c>
      <c r="G132" s="306"/>
      <c r="H132" s="306"/>
      <c r="I132" s="306"/>
      <c r="J132" s="307"/>
      <c r="K132" s="308" t="s">
        <v>169</v>
      </c>
      <c r="L132" s="309"/>
      <c r="M132" s="306"/>
      <c r="N132" s="306" t="s">
        <v>9</v>
      </c>
      <c r="O132" s="306"/>
      <c r="P132" s="310"/>
      <c r="Q132" s="392"/>
      <c r="R132" s="404" t="s">
        <v>177</v>
      </c>
    </row>
    <row r="133" spans="1:18" x14ac:dyDescent="0.35">
      <c r="A133" s="813"/>
      <c r="B133" s="751"/>
      <c r="C133" s="474">
        <v>110</v>
      </c>
      <c r="D133" s="28">
        <v>72.900000000000006</v>
      </c>
      <c r="E133" s="29">
        <f t="shared" si="5"/>
        <v>784.68831</v>
      </c>
      <c r="F133" s="306"/>
      <c r="G133" s="306"/>
      <c r="H133" s="306" t="s">
        <v>9</v>
      </c>
      <c r="I133" s="306"/>
      <c r="J133" s="307"/>
      <c r="K133" s="308" t="s">
        <v>169</v>
      </c>
      <c r="L133" s="309"/>
      <c r="M133" s="306" t="s">
        <v>9</v>
      </c>
      <c r="N133" s="306"/>
      <c r="O133" s="306"/>
      <c r="P133" s="310"/>
      <c r="Q133" s="393"/>
      <c r="R133" s="403" t="s">
        <v>176</v>
      </c>
    </row>
    <row r="134" spans="1:18" x14ac:dyDescent="0.35">
      <c r="A134" s="813"/>
      <c r="B134" s="751"/>
      <c r="C134" s="474">
        <v>111</v>
      </c>
      <c r="D134" s="28">
        <v>72.900000000000006</v>
      </c>
      <c r="E134" s="29">
        <f t="shared" si="5"/>
        <v>784.68831</v>
      </c>
      <c r="F134" s="306"/>
      <c r="G134" s="306"/>
      <c r="H134" s="306" t="s">
        <v>9</v>
      </c>
      <c r="I134" s="306"/>
      <c r="J134" s="307"/>
      <c r="K134" s="308" t="s">
        <v>66</v>
      </c>
      <c r="L134" s="309"/>
      <c r="M134" s="306" t="s">
        <v>9</v>
      </c>
      <c r="N134" s="306"/>
      <c r="O134" s="306"/>
      <c r="P134" s="310"/>
      <c r="Q134" s="391"/>
      <c r="R134" s="403" t="s">
        <v>176</v>
      </c>
    </row>
    <row r="135" spans="1:18" x14ac:dyDescent="0.35">
      <c r="A135" s="813"/>
      <c r="B135" s="751"/>
      <c r="C135" s="474">
        <v>112</v>
      </c>
      <c r="D135" s="28">
        <v>100.4</v>
      </c>
      <c r="E135" s="29">
        <f t="shared" si="5"/>
        <v>1080.6955600000001</v>
      </c>
      <c r="F135" s="306"/>
      <c r="G135" s="306"/>
      <c r="H135" s="306" t="s">
        <v>9</v>
      </c>
      <c r="I135" s="306"/>
      <c r="J135" s="307"/>
      <c r="K135" s="308" t="s">
        <v>66</v>
      </c>
      <c r="L135" s="309"/>
      <c r="M135" s="306"/>
      <c r="N135" s="306" t="s">
        <v>9</v>
      </c>
      <c r="O135" s="306"/>
      <c r="P135" s="310"/>
      <c r="Q135" s="391" t="s">
        <v>9</v>
      </c>
      <c r="R135" s="403" t="s">
        <v>176</v>
      </c>
    </row>
    <row r="136" spans="1:18" x14ac:dyDescent="0.35">
      <c r="A136" s="813"/>
      <c r="B136" s="751"/>
      <c r="C136" s="636">
        <v>113</v>
      </c>
      <c r="D136" s="638">
        <v>79.2</v>
      </c>
      <c r="E136" s="640">
        <f t="shared" si="5"/>
        <v>852.50088000000005</v>
      </c>
      <c r="F136" s="632"/>
      <c r="G136" s="632"/>
      <c r="H136" s="632" t="s">
        <v>9</v>
      </c>
      <c r="I136" s="630"/>
      <c r="J136" s="662"/>
      <c r="K136" s="308" t="s">
        <v>69</v>
      </c>
      <c r="L136" s="664"/>
      <c r="M136" s="632" t="s">
        <v>9</v>
      </c>
      <c r="N136" s="630"/>
      <c r="O136" s="630"/>
      <c r="P136" s="667"/>
      <c r="Q136" s="669"/>
      <c r="R136" s="666" t="s">
        <v>176</v>
      </c>
    </row>
    <row r="137" spans="1:18" x14ac:dyDescent="0.35">
      <c r="A137" s="813"/>
      <c r="B137" s="751"/>
      <c r="C137" s="637"/>
      <c r="D137" s="639"/>
      <c r="E137" s="641"/>
      <c r="F137" s="633"/>
      <c r="G137" s="633"/>
      <c r="H137" s="633"/>
      <c r="I137" s="631"/>
      <c r="J137" s="663"/>
      <c r="K137" s="308" t="s">
        <v>69</v>
      </c>
      <c r="L137" s="665"/>
      <c r="M137" s="633"/>
      <c r="N137" s="631"/>
      <c r="O137" s="631"/>
      <c r="P137" s="668"/>
      <c r="Q137" s="670"/>
      <c r="R137" s="666"/>
    </row>
    <row r="138" spans="1:18" x14ac:dyDescent="0.35">
      <c r="A138" s="813"/>
      <c r="B138" s="751"/>
      <c r="C138" s="474">
        <v>114</v>
      </c>
      <c r="D138" s="28">
        <v>100.4</v>
      </c>
      <c r="E138" s="29">
        <f t="shared" si="5"/>
        <v>1080.6955600000001</v>
      </c>
      <c r="F138" s="306"/>
      <c r="G138" s="306"/>
      <c r="H138" s="306" t="s">
        <v>9</v>
      </c>
      <c r="I138" s="306"/>
      <c r="J138" s="307"/>
      <c r="K138" s="308" t="s">
        <v>67</v>
      </c>
      <c r="L138" s="309"/>
      <c r="M138" s="306"/>
      <c r="N138" s="306" t="s">
        <v>9</v>
      </c>
      <c r="O138" s="306"/>
      <c r="P138" s="310"/>
      <c r="Q138" s="391"/>
      <c r="R138" s="403" t="s">
        <v>176</v>
      </c>
    </row>
    <row r="139" spans="1:18" x14ac:dyDescent="0.35">
      <c r="A139" s="813"/>
      <c r="B139" s="752"/>
      <c r="C139" s="474">
        <v>115</v>
      </c>
      <c r="D139" s="28">
        <v>79</v>
      </c>
      <c r="E139" s="29">
        <f t="shared" si="5"/>
        <v>850.34809999999993</v>
      </c>
      <c r="F139" s="306"/>
      <c r="G139" s="306"/>
      <c r="H139" s="306" t="s">
        <v>9</v>
      </c>
      <c r="I139" s="306"/>
      <c r="J139" s="307"/>
      <c r="K139" s="308" t="s">
        <v>67</v>
      </c>
      <c r="L139" s="309"/>
      <c r="M139" s="306" t="s">
        <v>9</v>
      </c>
      <c r="N139" s="306"/>
      <c r="O139" s="306"/>
      <c r="P139" s="310"/>
      <c r="Q139" s="391"/>
      <c r="R139" s="403" t="s">
        <v>176</v>
      </c>
    </row>
    <row r="140" spans="1:18" x14ac:dyDescent="0.35">
      <c r="A140" s="813"/>
      <c r="B140" s="746" t="s">
        <v>22</v>
      </c>
      <c r="C140" s="474">
        <v>116</v>
      </c>
      <c r="D140" s="28">
        <v>87.7</v>
      </c>
      <c r="E140" s="29">
        <f t="shared" si="5"/>
        <v>943.99402999999995</v>
      </c>
      <c r="F140" s="306"/>
      <c r="G140" s="306" t="s">
        <v>9</v>
      </c>
      <c r="H140" s="306"/>
      <c r="I140" s="306"/>
      <c r="J140" s="307"/>
      <c r="K140" s="308" t="s">
        <v>66</v>
      </c>
      <c r="L140" s="309"/>
      <c r="M140" s="306" t="s">
        <v>9</v>
      </c>
      <c r="N140" s="306"/>
      <c r="O140" s="306"/>
      <c r="P140" s="310"/>
      <c r="Q140" s="391"/>
      <c r="R140" s="403" t="s">
        <v>176</v>
      </c>
    </row>
    <row r="141" spans="1:18" x14ac:dyDescent="0.35">
      <c r="A141" s="813"/>
      <c r="B141" s="747"/>
      <c r="C141" s="636">
        <v>117</v>
      </c>
      <c r="D141" s="638">
        <v>83.1</v>
      </c>
      <c r="E141" s="640">
        <f>SUM(D141*10.7639)</f>
        <v>894.4800899999999</v>
      </c>
      <c r="F141" s="632" t="s">
        <v>9</v>
      </c>
      <c r="G141" s="632"/>
      <c r="H141" s="630"/>
      <c r="I141" s="630"/>
      <c r="J141" s="662"/>
      <c r="K141" s="308" t="s">
        <v>66</v>
      </c>
      <c r="L141" s="664"/>
      <c r="M141" s="630"/>
      <c r="N141" s="632" t="s">
        <v>9</v>
      </c>
      <c r="O141" s="630"/>
      <c r="P141" s="667"/>
      <c r="Q141" s="669"/>
      <c r="R141" s="646" t="s">
        <v>177</v>
      </c>
    </row>
    <row r="142" spans="1:18" x14ac:dyDescent="0.35">
      <c r="A142" s="813"/>
      <c r="B142" s="747"/>
      <c r="C142" s="637"/>
      <c r="D142" s="639"/>
      <c r="E142" s="641"/>
      <c r="F142" s="633"/>
      <c r="G142" s="633"/>
      <c r="H142" s="631"/>
      <c r="I142" s="631"/>
      <c r="J142" s="663"/>
      <c r="K142" s="308" t="s">
        <v>67</v>
      </c>
      <c r="L142" s="665"/>
      <c r="M142" s="631"/>
      <c r="N142" s="633"/>
      <c r="O142" s="631"/>
      <c r="P142" s="668"/>
      <c r="Q142" s="670"/>
      <c r="R142" s="647"/>
    </row>
    <row r="143" spans="1:18" x14ac:dyDescent="0.35">
      <c r="A143" s="813"/>
      <c r="B143" s="747"/>
      <c r="C143" s="474">
        <v>118</v>
      </c>
      <c r="D143" s="28">
        <v>95</v>
      </c>
      <c r="E143" s="29">
        <f t="shared" si="5"/>
        <v>1022.5704999999999</v>
      </c>
      <c r="F143" s="306" t="s">
        <v>9</v>
      </c>
      <c r="G143" s="306"/>
      <c r="H143" s="306"/>
      <c r="I143" s="306"/>
      <c r="J143" s="307"/>
      <c r="K143" s="308" t="s">
        <v>68</v>
      </c>
      <c r="L143" s="309"/>
      <c r="M143" s="306" t="s">
        <v>9</v>
      </c>
      <c r="N143" s="306"/>
      <c r="O143" s="306"/>
      <c r="P143" s="310"/>
      <c r="Q143" s="391"/>
      <c r="R143" s="404" t="s">
        <v>177</v>
      </c>
    </row>
    <row r="144" spans="1:18" x14ac:dyDescent="0.35">
      <c r="A144" s="813"/>
      <c r="B144" s="747"/>
      <c r="C144" s="474">
        <v>119</v>
      </c>
      <c r="D144" s="28">
        <v>95</v>
      </c>
      <c r="E144" s="29">
        <f t="shared" si="5"/>
        <v>1022.5704999999999</v>
      </c>
      <c r="F144" s="306" t="s">
        <v>9</v>
      </c>
      <c r="G144" s="306"/>
      <c r="H144" s="306"/>
      <c r="I144" s="306"/>
      <c r="J144" s="307"/>
      <c r="K144" s="308" t="s">
        <v>68</v>
      </c>
      <c r="L144" s="309"/>
      <c r="M144" s="306" t="s">
        <v>9</v>
      </c>
      <c r="N144" s="306"/>
      <c r="O144" s="306"/>
      <c r="P144" s="310"/>
      <c r="Q144" s="393"/>
      <c r="R144" s="404" t="s">
        <v>177</v>
      </c>
    </row>
    <row r="145" spans="1:18" x14ac:dyDescent="0.35">
      <c r="A145" s="813"/>
      <c r="B145" s="747"/>
      <c r="C145" s="636">
        <v>120</v>
      </c>
      <c r="D145" s="638">
        <v>83.1</v>
      </c>
      <c r="E145" s="640">
        <f t="shared" si="5"/>
        <v>894.4800899999999</v>
      </c>
      <c r="F145" s="632" t="s">
        <v>9</v>
      </c>
      <c r="G145" s="630"/>
      <c r="H145" s="630"/>
      <c r="I145" s="630"/>
      <c r="J145" s="662"/>
      <c r="K145" s="501" t="s">
        <v>66</v>
      </c>
      <c r="L145" s="664"/>
      <c r="M145" s="630"/>
      <c r="N145" s="632" t="s">
        <v>9</v>
      </c>
      <c r="O145" s="632"/>
      <c r="P145" s="642"/>
      <c r="Q145" s="644"/>
      <c r="R145" s="646" t="s">
        <v>177</v>
      </c>
    </row>
    <row r="146" spans="1:18" x14ac:dyDescent="0.35">
      <c r="A146" s="813"/>
      <c r="B146" s="747"/>
      <c r="C146" s="637"/>
      <c r="D146" s="639"/>
      <c r="E146" s="641"/>
      <c r="F146" s="633"/>
      <c r="G146" s="631"/>
      <c r="H146" s="631"/>
      <c r="I146" s="631"/>
      <c r="J146" s="663"/>
      <c r="K146" s="308" t="s">
        <v>67</v>
      </c>
      <c r="L146" s="665"/>
      <c r="M146" s="631"/>
      <c r="N146" s="633"/>
      <c r="O146" s="633"/>
      <c r="P146" s="643"/>
      <c r="Q146" s="652"/>
      <c r="R146" s="647"/>
    </row>
    <row r="147" spans="1:18" x14ac:dyDescent="0.35">
      <c r="A147" s="813"/>
      <c r="B147" s="747"/>
      <c r="C147" s="474">
        <v>121</v>
      </c>
      <c r="D147" s="28">
        <v>77.5</v>
      </c>
      <c r="E147" s="29">
        <f t="shared" si="5"/>
        <v>834.20224999999994</v>
      </c>
      <c r="F147" s="306" t="s">
        <v>9</v>
      </c>
      <c r="G147" s="306"/>
      <c r="H147" s="306"/>
      <c r="I147" s="306"/>
      <c r="J147" s="307"/>
      <c r="K147" s="308" t="s">
        <v>68</v>
      </c>
      <c r="L147" s="309"/>
      <c r="M147" s="306" t="s">
        <v>9</v>
      </c>
      <c r="N147" s="306"/>
      <c r="O147" s="306"/>
      <c r="P147" s="310"/>
      <c r="Q147" s="391"/>
      <c r="R147" s="404" t="s">
        <v>177</v>
      </c>
    </row>
    <row r="148" spans="1:18" x14ac:dyDescent="0.35">
      <c r="A148" s="813"/>
      <c r="B148" s="747"/>
      <c r="C148" s="474">
        <v>122</v>
      </c>
      <c r="D148" s="28">
        <v>77.5</v>
      </c>
      <c r="E148" s="29">
        <f t="shared" si="5"/>
        <v>834.20224999999994</v>
      </c>
      <c r="F148" s="306" t="s">
        <v>9</v>
      </c>
      <c r="G148" s="306"/>
      <c r="H148" s="306"/>
      <c r="I148" s="306"/>
      <c r="J148" s="307"/>
      <c r="K148" s="308" t="s">
        <v>68</v>
      </c>
      <c r="L148" s="309"/>
      <c r="M148" s="306" t="s">
        <v>9</v>
      </c>
      <c r="N148" s="306"/>
      <c r="O148" s="306"/>
      <c r="P148" s="310"/>
      <c r="Q148" s="391"/>
      <c r="R148" s="404" t="s">
        <v>177</v>
      </c>
    </row>
    <row r="149" spans="1:18" x14ac:dyDescent="0.35">
      <c r="A149" s="813"/>
      <c r="B149" s="747"/>
      <c r="C149" s="474">
        <v>123</v>
      </c>
      <c r="D149" s="28">
        <v>77.5</v>
      </c>
      <c r="E149" s="29">
        <f t="shared" si="5"/>
        <v>834.20224999999994</v>
      </c>
      <c r="F149" s="306" t="s">
        <v>9</v>
      </c>
      <c r="G149" s="306"/>
      <c r="H149" s="306"/>
      <c r="I149" s="306"/>
      <c r="J149" s="307"/>
      <c r="K149" s="308" t="s">
        <v>68</v>
      </c>
      <c r="L149" s="309"/>
      <c r="M149" s="306" t="s">
        <v>9</v>
      </c>
      <c r="N149" s="306"/>
      <c r="O149" s="306"/>
      <c r="P149" s="310"/>
      <c r="Q149" s="391"/>
      <c r="R149" s="404" t="s">
        <v>177</v>
      </c>
    </row>
    <row r="150" spans="1:18" x14ac:dyDescent="0.35">
      <c r="A150" s="813"/>
      <c r="B150" s="747"/>
      <c r="C150" s="474">
        <v>124</v>
      </c>
      <c r="D150" s="28">
        <v>99</v>
      </c>
      <c r="E150" s="29">
        <f t="shared" si="5"/>
        <v>1065.6261</v>
      </c>
      <c r="F150" s="306"/>
      <c r="G150" s="306" t="s">
        <v>9</v>
      </c>
      <c r="H150" s="306"/>
      <c r="I150" s="306"/>
      <c r="J150" s="307"/>
      <c r="K150" s="308" t="s">
        <v>68</v>
      </c>
      <c r="L150" s="309"/>
      <c r="M150" s="306" t="s">
        <v>9</v>
      </c>
      <c r="N150" s="306"/>
      <c r="O150" s="306"/>
      <c r="P150" s="310"/>
      <c r="Q150" s="391"/>
      <c r="R150" s="403" t="s">
        <v>176</v>
      </c>
    </row>
    <row r="151" spans="1:18" x14ac:dyDescent="0.35">
      <c r="A151" s="813"/>
      <c r="B151" s="747"/>
      <c r="C151" s="474">
        <v>125</v>
      </c>
      <c r="D151" s="28">
        <v>75.3</v>
      </c>
      <c r="E151" s="29">
        <f t="shared" si="5"/>
        <v>810.52166999999997</v>
      </c>
      <c r="F151" s="306" t="s">
        <v>9</v>
      </c>
      <c r="G151" s="306"/>
      <c r="H151" s="306"/>
      <c r="I151" s="306"/>
      <c r="J151" s="307"/>
      <c r="K151" s="308" t="s">
        <v>68</v>
      </c>
      <c r="L151" s="309"/>
      <c r="M151" s="306" t="s">
        <v>9</v>
      </c>
      <c r="N151" s="306"/>
      <c r="O151" s="306"/>
      <c r="P151" s="310"/>
      <c r="Q151" s="391"/>
      <c r="R151" s="404" t="s">
        <v>177</v>
      </c>
    </row>
    <row r="152" spans="1:18" x14ac:dyDescent="0.35">
      <c r="A152" s="813"/>
      <c r="B152" s="747"/>
      <c r="C152" s="474">
        <v>126</v>
      </c>
      <c r="D152" s="28">
        <v>75.3</v>
      </c>
      <c r="E152" s="29">
        <f t="shared" si="5"/>
        <v>810.52166999999997</v>
      </c>
      <c r="F152" s="306" t="s">
        <v>9</v>
      </c>
      <c r="G152" s="306"/>
      <c r="H152" s="306"/>
      <c r="I152" s="306"/>
      <c r="J152" s="307"/>
      <c r="K152" s="308" t="s">
        <v>68</v>
      </c>
      <c r="L152" s="309"/>
      <c r="M152" s="306" t="s">
        <v>9</v>
      </c>
      <c r="N152" s="306"/>
      <c r="O152" s="306"/>
      <c r="P152" s="310"/>
      <c r="Q152" s="391"/>
      <c r="R152" s="404" t="s">
        <v>177</v>
      </c>
    </row>
    <row r="153" spans="1:18" x14ac:dyDescent="0.35">
      <c r="A153" s="813"/>
      <c r="B153" s="747"/>
      <c r="C153" s="474">
        <v>127</v>
      </c>
      <c r="D153" s="28">
        <v>75.3</v>
      </c>
      <c r="E153" s="29">
        <f t="shared" si="5"/>
        <v>810.52166999999997</v>
      </c>
      <c r="F153" s="306" t="s">
        <v>9</v>
      </c>
      <c r="G153" s="306"/>
      <c r="H153" s="306"/>
      <c r="I153" s="306"/>
      <c r="J153" s="307"/>
      <c r="K153" s="308" t="s">
        <v>68</v>
      </c>
      <c r="L153" s="309"/>
      <c r="M153" s="306" t="s">
        <v>9</v>
      </c>
      <c r="N153" s="306"/>
      <c r="O153" s="306"/>
      <c r="P153" s="310"/>
      <c r="Q153" s="391"/>
      <c r="R153" s="404" t="s">
        <v>177</v>
      </c>
    </row>
    <row r="154" spans="1:18" x14ac:dyDescent="0.35">
      <c r="A154" s="813"/>
      <c r="B154" s="747"/>
      <c r="C154" s="474">
        <v>128</v>
      </c>
      <c r="D154" s="28">
        <v>70.599999999999994</v>
      </c>
      <c r="E154" s="29">
        <f t="shared" si="5"/>
        <v>759.93133999999986</v>
      </c>
      <c r="F154" s="306" t="s">
        <v>9</v>
      </c>
      <c r="G154" s="306"/>
      <c r="H154" s="306"/>
      <c r="I154" s="306"/>
      <c r="J154" s="307"/>
      <c r="K154" s="308" t="s">
        <v>68</v>
      </c>
      <c r="L154" s="309"/>
      <c r="M154" s="306" t="s">
        <v>9</v>
      </c>
      <c r="N154" s="306"/>
      <c r="O154" s="306"/>
      <c r="P154" s="310"/>
      <c r="Q154" s="391"/>
      <c r="R154" s="403" t="s">
        <v>176</v>
      </c>
    </row>
    <row r="155" spans="1:18" x14ac:dyDescent="0.35">
      <c r="A155" s="813"/>
      <c r="B155" s="747"/>
      <c r="C155" s="474">
        <v>129</v>
      </c>
      <c r="D155" s="28">
        <v>91.4</v>
      </c>
      <c r="E155" s="29">
        <f t="shared" si="5"/>
        <v>983.82046000000003</v>
      </c>
      <c r="F155" s="306" t="s">
        <v>9</v>
      </c>
      <c r="G155" s="306"/>
      <c r="H155" s="306"/>
      <c r="I155" s="306"/>
      <c r="J155" s="307"/>
      <c r="K155" s="308" t="s">
        <v>66</v>
      </c>
      <c r="L155" s="309"/>
      <c r="M155" s="306"/>
      <c r="N155" s="306" t="s">
        <v>9</v>
      </c>
      <c r="O155" s="306"/>
      <c r="P155" s="310"/>
      <c r="Q155" s="391"/>
      <c r="R155" s="404" t="s">
        <v>177</v>
      </c>
    </row>
    <row r="156" spans="1:18" x14ac:dyDescent="0.35">
      <c r="A156" s="813"/>
      <c r="B156" s="747"/>
      <c r="C156" s="636">
        <v>130</v>
      </c>
      <c r="D156" s="638">
        <v>108.2</v>
      </c>
      <c r="E156" s="640">
        <f>SUM(D156*10.7639)</f>
        <v>1164.65398</v>
      </c>
      <c r="F156" s="632" t="s">
        <v>9</v>
      </c>
      <c r="G156" s="630"/>
      <c r="H156" s="630"/>
      <c r="I156" s="630"/>
      <c r="J156" s="662"/>
      <c r="K156" s="308" t="s">
        <v>66</v>
      </c>
      <c r="L156" s="664"/>
      <c r="M156" s="630"/>
      <c r="N156" s="632" t="s">
        <v>9</v>
      </c>
      <c r="O156" s="632"/>
      <c r="P156" s="642"/>
      <c r="Q156" s="644"/>
      <c r="R156" s="646" t="s">
        <v>177</v>
      </c>
    </row>
    <row r="157" spans="1:18" x14ac:dyDescent="0.35">
      <c r="A157" s="813"/>
      <c r="B157" s="747"/>
      <c r="C157" s="637"/>
      <c r="D157" s="639"/>
      <c r="E157" s="641"/>
      <c r="F157" s="633"/>
      <c r="G157" s="631"/>
      <c r="H157" s="631"/>
      <c r="I157" s="631"/>
      <c r="J157" s="663"/>
      <c r="K157" s="308" t="s">
        <v>69</v>
      </c>
      <c r="L157" s="665"/>
      <c r="M157" s="631"/>
      <c r="N157" s="633"/>
      <c r="O157" s="633"/>
      <c r="P157" s="643"/>
      <c r="Q157" s="645"/>
      <c r="R157" s="647"/>
    </row>
    <row r="158" spans="1:18" x14ac:dyDescent="0.35">
      <c r="A158" s="813"/>
      <c r="B158" s="747"/>
      <c r="C158" s="636">
        <v>131</v>
      </c>
      <c r="D158" s="638">
        <v>127.5</v>
      </c>
      <c r="E158" s="640">
        <f>SUM(D158*10.7639)</f>
        <v>1372.39725</v>
      </c>
      <c r="F158" s="632" t="s">
        <v>9</v>
      </c>
      <c r="G158" s="630"/>
      <c r="H158" s="630"/>
      <c r="I158" s="630"/>
      <c r="J158" s="662"/>
      <c r="K158" s="308" t="s">
        <v>67</v>
      </c>
      <c r="L158" s="664"/>
      <c r="M158" s="630"/>
      <c r="N158" s="630"/>
      <c r="O158" s="632" t="s">
        <v>9</v>
      </c>
      <c r="P158" s="642"/>
      <c r="Q158" s="645"/>
      <c r="R158" s="646" t="s">
        <v>177</v>
      </c>
    </row>
    <row r="159" spans="1:18" x14ac:dyDescent="0.35">
      <c r="A159" s="813"/>
      <c r="B159" s="747"/>
      <c r="C159" s="637"/>
      <c r="D159" s="639"/>
      <c r="E159" s="641"/>
      <c r="F159" s="633"/>
      <c r="G159" s="631"/>
      <c r="H159" s="631"/>
      <c r="I159" s="631"/>
      <c r="J159" s="663"/>
      <c r="K159" s="308" t="s">
        <v>224</v>
      </c>
      <c r="L159" s="665"/>
      <c r="M159" s="631"/>
      <c r="N159" s="631"/>
      <c r="O159" s="633"/>
      <c r="P159" s="643"/>
      <c r="Q159" s="652"/>
      <c r="R159" s="647"/>
    </row>
    <row r="160" spans="1:18" x14ac:dyDescent="0.35">
      <c r="A160" s="813"/>
      <c r="B160" s="747"/>
      <c r="C160" s="636">
        <v>132</v>
      </c>
      <c r="D160" s="638">
        <v>72.599999999999994</v>
      </c>
      <c r="E160" s="640">
        <f t="shared" si="5"/>
        <v>781.45913999999993</v>
      </c>
      <c r="F160" s="632" t="s">
        <v>9</v>
      </c>
      <c r="G160" s="630"/>
      <c r="H160" s="630"/>
      <c r="I160" s="630"/>
      <c r="J160" s="662"/>
      <c r="K160" s="308" t="s">
        <v>69</v>
      </c>
      <c r="L160" s="664"/>
      <c r="M160" s="632" t="s">
        <v>9</v>
      </c>
      <c r="N160" s="632"/>
      <c r="O160" s="632"/>
      <c r="P160" s="642"/>
      <c r="Q160" s="644" t="s">
        <v>9</v>
      </c>
      <c r="R160" s="646" t="s">
        <v>177</v>
      </c>
    </row>
    <row r="161" spans="1:19" x14ac:dyDescent="0.35">
      <c r="A161" s="813"/>
      <c r="B161" s="747"/>
      <c r="C161" s="637"/>
      <c r="D161" s="639"/>
      <c r="E161" s="641"/>
      <c r="F161" s="633"/>
      <c r="G161" s="631"/>
      <c r="H161" s="631"/>
      <c r="I161" s="631"/>
      <c r="J161" s="663"/>
      <c r="K161" s="308" t="s">
        <v>225</v>
      </c>
      <c r="L161" s="665"/>
      <c r="M161" s="633"/>
      <c r="N161" s="633"/>
      <c r="O161" s="633"/>
      <c r="P161" s="643"/>
      <c r="Q161" s="652"/>
      <c r="R161" s="647"/>
    </row>
    <row r="162" spans="1:19" x14ac:dyDescent="0.35">
      <c r="A162" s="813"/>
      <c r="B162" s="747"/>
      <c r="C162" s="474">
        <v>133</v>
      </c>
      <c r="D162" s="28">
        <v>90</v>
      </c>
      <c r="E162" s="29">
        <f t="shared" si="5"/>
        <v>968.75099999999998</v>
      </c>
      <c r="F162" s="306" t="s">
        <v>9</v>
      </c>
      <c r="G162" s="306"/>
      <c r="H162" s="306"/>
      <c r="I162" s="306"/>
      <c r="J162" s="307"/>
      <c r="K162" s="308" t="s">
        <v>225</v>
      </c>
      <c r="L162" s="309"/>
      <c r="M162" s="306"/>
      <c r="N162" s="306" t="s">
        <v>9</v>
      </c>
      <c r="O162" s="306"/>
      <c r="P162" s="310"/>
      <c r="Q162" s="391"/>
      <c r="R162" s="404" t="s">
        <v>177</v>
      </c>
    </row>
    <row r="163" spans="1:19" x14ac:dyDescent="0.35">
      <c r="A163" s="813"/>
      <c r="B163" s="747"/>
      <c r="C163" s="474">
        <v>134</v>
      </c>
      <c r="D163" s="28">
        <v>97.1</v>
      </c>
      <c r="E163" s="29">
        <f t="shared" si="5"/>
        <v>1045.1746899999998</v>
      </c>
      <c r="F163" s="306" t="s">
        <v>9</v>
      </c>
      <c r="G163" s="306"/>
      <c r="H163" s="306"/>
      <c r="I163" s="306"/>
      <c r="J163" s="307"/>
      <c r="K163" s="308" t="s">
        <v>225</v>
      </c>
      <c r="L163" s="309"/>
      <c r="M163" s="306"/>
      <c r="N163" s="306" t="s">
        <v>9</v>
      </c>
      <c r="O163" s="306"/>
      <c r="P163" s="310"/>
      <c r="Q163" s="391"/>
      <c r="R163" s="404" t="s">
        <v>177</v>
      </c>
    </row>
    <row r="164" spans="1:19" x14ac:dyDescent="0.35">
      <c r="A164" s="813"/>
      <c r="B164" s="747"/>
      <c r="C164" s="636">
        <v>135</v>
      </c>
      <c r="D164" s="638">
        <v>91.3</v>
      </c>
      <c r="E164" s="640">
        <f t="shared" si="5"/>
        <v>982.74406999999997</v>
      </c>
      <c r="F164" s="632" t="s">
        <v>9</v>
      </c>
      <c r="G164" s="630"/>
      <c r="H164" s="630"/>
      <c r="I164" s="630"/>
      <c r="J164" s="662"/>
      <c r="K164" s="501" t="s">
        <v>69</v>
      </c>
      <c r="L164" s="664"/>
      <c r="M164" s="630"/>
      <c r="N164" s="632" t="s">
        <v>9</v>
      </c>
      <c r="O164" s="632"/>
      <c r="P164" s="642"/>
      <c r="Q164" s="644"/>
      <c r="R164" s="646" t="s">
        <v>177</v>
      </c>
    </row>
    <row r="165" spans="1:19" x14ac:dyDescent="0.35">
      <c r="A165" s="813"/>
      <c r="B165" s="747"/>
      <c r="C165" s="637"/>
      <c r="D165" s="639"/>
      <c r="E165" s="641"/>
      <c r="F165" s="633"/>
      <c r="G165" s="631"/>
      <c r="H165" s="631"/>
      <c r="I165" s="631"/>
      <c r="J165" s="663"/>
      <c r="K165" s="308" t="s">
        <v>68</v>
      </c>
      <c r="L165" s="665"/>
      <c r="M165" s="631"/>
      <c r="N165" s="633"/>
      <c r="O165" s="633"/>
      <c r="P165" s="643"/>
      <c r="Q165" s="652"/>
      <c r="R165" s="666"/>
    </row>
    <row r="166" spans="1:19" x14ac:dyDescent="0.35">
      <c r="A166" s="813"/>
      <c r="B166" s="747"/>
      <c r="C166" s="474">
        <v>136</v>
      </c>
      <c r="D166" s="28">
        <v>88.5</v>
      </c>
      <c r="E166" s="29">
        <f t="shared" si="5"/>
        <v>952.60514999999998</v>
      </c>
      <c r="F166" s="306"/>
      <c r="G166" s="306"/>
      <c r="H166" s="306" t="s">
        <v>9</v>
      </c>
      <c r="I166" s="306"/>
      <c r="J166" s="307"/>
      <c r="K166" s="308" t="s">
        <v>68</v>
      </c>
      <c r="L166" s="309"/>
      <c r="M166" s="306"/>
      <c r="N166" s="306" t="s">
        <v>9</v>
      </c>
      <c r="O166" s="306"/>
      <c r="P166" s="310"/>
      <c r="Q166" s="391"/>
      <c r="R166" s="403" t="s">
        <v>176</v>
      </c>
    </row>
    <row r="167" spans="1:19" x14ac:dyDescent="0.35">
      <c r="A167" s="813"/>
      <c r="B167" s="747"/>
      <c r="C167" s="474">
        <v>137</v>
      </c>
      <c r="D167" s="28">
        <v>89.9</v>
      </c>
      <c r="E167" s="29">
        <f t="shared" si="5"/>
        <v>967.67461000000003</v>
      </c>
      <c r="F167" s="306" t="s">
        <v>9</v>
      </c>
      <c r="G167" s="306"/>
      <c r="H167" s="306"/>
      <c r="I167" s="306"/>
      <c r="J167" s="307"/>
      <c r="K167" s="308" t="s">
        <v>68</v>
      </c>
      <c r="L167" s="309"/>
      <c r="M167" s="306"/>
      <c r="N167" s="306" t="s">
        <v>9</v>
      </c>
      <c r="O167" s="306"/>
      <c r="P167" s="310"/>
      <c r="Q167" s="391"/>
      <c r="R167" s="404" t="s">
        <v>177</v>
      </c>
    </row>
    <row r="168" spans="1:19" x14ac:dyDescent="0.35">
      <c r="A168" s="813"/>
      <c r="B168" s="747"/>
      <c r="C168" s="474">
        <v>138</v>
      </c>
      <c r="D168" s="28">
        <v>90.7</v>
      </c>
      <c r="E168" s="29">
        <f t="shared" si="5"/>
        <v>976.28572999999994</v>
      </c>
      <c r="F168" s="306" t="s">
        <v>9</v>
      </c>
      <c r="G168" s="306"/>
      <c r="H168" s="306"/>
      <c r="I168" s="306"/>
      <c r="J168" s="307"/>
      <c r="K168" s="308" t="s">
        <v>66</v>
      </c>
      <c r="L168" s="309"/>
      <c r="M168" s="306" t="s">
        <v>9</v>
      </c>
      <c r="N168" s="306"/>
      <c r="O168" s="306"/>
      <c r="P168" s="310"/>
      <c r="Q168" s="391"/>
      <c r="R168" s="404" t="s">
        <v>178</v>
      </c>
    </row>
    <row r="169" spans="1:19" x14ac:dyDescent="0.35">
      <c r="A169" s="813"/>
      <c r="B169" s="747"/>
      <c r="C169" s="474">
        <v>139</v>
      </c>
      <c r="D169" s="28">
        <v>90.7</v>
      </c>
      <c r="E169" s="29">
        <f t="shared" si="5"/>
        <v>976.28572999999994</v>
      </c>
      <c r="F169" s="306" t="s">
        <v>9</v>
      </c>
      <c r="G169" s="306"/>
      <c r="H169" s="306"/>
      <c r="I169" s="306"/>
      <c r="J169" s="307"/>
      <c r="K169" s="308" t="s">
        <v>170</v>
      </c>
      <c r="L169" s="309"/>
      <c r="M169" s="306" t="s">
        <v>9</v>
      </c>
      <c r="N169" s="306"/>
      <c r="O169" s="306"/>
      <c r="P169" s="310"/>
      <c r="Q169" s="391"/>
      <c r="R169" s="404" t="s">
        <v>178</v>
      </c>
    </row>
    <row r="170" spans="1:19" x14ac:dyDescent="0.35">
      <c r="A170" s="813"/>
      <c r="B170" s="747"/>
      <c r="C170" s="474">
        <v>140</v>
      </c>
      <c r="D170" s="28">
        <v>87.6</v>
      </c>
      <c r="E170" s="29">
        <f t="shared" si="5"/>
        <v>942.91763999999989</v>
      </c>
      <c r="F170" s="306" t="s">
        <v>9</v>
      </c>
      <c r="G170" s="306"/>
      <c r="H170" s="306"/>
      <c r="I170" s="306"/>
      <c r="J170" s="307"/>
      <c r="K170" s="308" t="s">
        <v>170</v>
      </c>
      <c r="L170" s="309"/>
      <c r="M170" s="306" t="s">
        <v>9</v>
      </c>
      <c r="N170" s="306"/>
      <c r="O170" s="306"/>
      <c r="P170" s="310"/>
      <c r="Q170" s="392"/>
      <c r="R170" s="404" t="s">
        <v>177</v>
      </c>
    </row>
    <row r="171" spans="1:19" x14ac:dyDescent="0.35">
      <c r="A171" s="813"/>
      <c r="B171" s="747"/>
      <c r="C171" s="333">
        <v>141</v>
      </c>
      <c r="D171" s="28">
        <v>97.3</v>
      </c>
      <c r="E171" s="29">
        <f t="shared" si="5"/>
        <v>1047.3274699999999</v>
      </c>
      <c r="F171" s="306" t="s">
        <v>9</v>
      </c>
      <c r="G171" s="306"/>
      <c r="H171" s="306"/>
      <c r="I171" s="306"/>
      <c r="J171" s="307"/>
      <c r="K171" s="308" t="s">
        <v>225</v>
      </c>
      <c r="L171" s="309"/>
      <c r="M171" s="306"/>
      <c r="N171" s="306" t="s">
        <v>9</v>
      </c>
      <c r="O171" s="306"/>
      <c r="P171" s="310"/>
      <c r="Q171" s="392"/>
      <c r="R171" s="404" t="s">
        <v>177</v>
      </c>
    </row>
    <row r="172" spans="1:19" x14ac:dyDescent="0.35">
      <c r="A172" s="816"/>
      <c r="B172" s="748"/>
      <c r="C172" s="476">
        <v>142</v>
      </c>
      <c r="D172" s="477">
        <v>89</v>
      </c>
      <c r="E172" s="478">
        <f t="shared" si="5"/>
        <v>957.98709999999994</v>
      </c>
      <c r="F172" s="479" t="s">
        <v>9</v>
      </c>
      <c r="G172" s="479"/>
      <c r="H172" s="479"/>
      <c r="I172" s="479"/>
      <c r="J172" s="479"/>
      <c r="K172" s="308" t="s">
        <v>68</v>
      </c>
      <c r="L172" s="480"/>
      <c r="M172" s="479" t="s">
        <v>9</v>
      </c>
      <c r="N172" s="479"/>
      <c r="O172" s="479"/>
      <c r="P172" s="311"/>
      <c r="Q172" s="393"/>
      <c r="R172" s="404" t="s">
        <v>177</v>
      </c>
    </row>
    <row r="173" spans="1:19" x14ac:dyDescent="0.35">
      <c r="A173" s="813" t="s">
        <v>74</v>
      </c>
      <c r="B173" s="746" t="s">
        <v>130</v>
      </c>
      <c r="C173" s="551">
        <v>143</v>
      </c>
      <c r="D173" s="33">
        <v>38.200000000000003</v>
      </c>
      <c r="E173" s="34">
        <f t="shared" si="5"/>
        <v>411.18098000000003</v>
      </c>
      <c r="F173" s="312"/>
      <c r="G173" s="312"/>
      <c r="H173" s="555" t="s">
        <v>9</v>
      </c>
      <c r="I173" s="312"/>
      <c r="J173" s="313"/>
      <c r="K173" s="314" t="s">
        <v>70</v>
      </c>
      <c r="L173" s="315" t="s">
        <v>9</v>
      </c>
      <c r="M173" s="312"/>
      <c r="N173" s="312"/>
      <c r="O173" s="312"/>
      <c r="P173" s="316"/>
      <c r="Q173" s="398"/>
      <c r="R173" s="404" t="s">
        <v>174</v>
      </c>
      <c r="S173" s="2" t="s">
        <v>9</v>
      </c>
    </row>
    <row r="174" spans="1:19" x14ac:dyDescent="0.35">
      <c r="A174" s="813"/>
      <c r="B174" s="747"/>
      <c r="C174" s="474">
        <v>144</v>
      </c>
      <c r="D174" s="28">
        <v>52.1</v>
      </c>
      <c r="E174" s="29">
        <f t="shared" si="5"/>
        <v>560.79918999999995</v>
      </c>
      <c r="F174" s="306"/>
      <c r="G174" s="306"/>
      <c r="H174" s="306"/>
      <c r="I174" s="306"/>
      <c r="J174" s="307" t="s">
        <v>9</v>
      </c>
      <c r="K174" s="308" t="s">
        <v>70</v>
      </c>
      <c r="L174" s="309" t="s">
        <v>9</v>
      </c>
      <c r="M174" s="306"/>
      <c r="N174" s="306"/>
      <c r="O174" s="306"/>
      <c r="P174" s="310"/>
      <c r="Q174" s="392"/>
      <c r="R174" s="404" t="s">
        <v>174</v>
      </c>
    </row>
    <row r="175" spans="1:19" x14ac:dyDescent="0.35">
      <c r="A175" s="813"/>
      <c r="B175" s="747"/>
      <c r="C175" s="552">
        <v>145</v>
      </c>
      <c r="D175" s="28">
        <v>38.200000000000003</v>
      </c>
      <c r="E175" s="29">
        <f t="shared" ref="E175:E183" si="6">SUM(D175*10.7639)</f>
        <v>411.18098000000003</v>
      </c>
      <c r="F175" s="306"/>
      <c r="G175" s="306"/>
      <c r="H175" s="306"/>
      <c r="I175" s="306"/>
      <c r="J175" s="307" t="s">
        <v>9</v>
      </c>
      <c r="K175" s="308" t="s">
        <v>69</v>
      </c>
      <c r="L175" s="309" t="s">
        <v>9</v>
      </c>
      <c r="M175" s="306"/>
      <c r="N175" s="306"/>
      <c r="O175" s="306"/>
      <c r="P175" s="310"/>
      <c r="Q175" s="393"/>
      <c r="R175" s="404" t="s">
        <v>174</v>
      </c>
      <c r="S175" s="2" t="s">
        <v>9</v>
      </c>
    </row>
    <row r="176" spans="1:19" x14ac:dyDescent="0.35">
      <c r="A176" s="813"/>
      <c r="B176" s="747"/>
      <c r="C176" s="474">
        <v>146</v>
      </c>
      <c r="D176" s="28">
        <v>52.1</v>
      </c>
      <c r="E176" s="29">
        <f t="shared" si="6"/>
        <v>560.79918999999995</v>
      </c>
      <c r="F176" s="306"/>
      <c r="G176" s="306"/>
      <c r="H176" s="306"/>
      <c r="I176" s="306"/>
      <c r="J176" s="307" t="s">
        <v>9</v>
      </c>
      <c r="K176" s="308" t="s">
        <v>70</v>
      </c>
      <c r="L176" s="309" t="s">
        <v>9</v>
      </c>
      <c r="M176" s="306"/>
      <c r="N176" s="306"/>
      <c r="O176" s="306"/>
      <c r="P176" s="310"/>
      <c r="Q176" s="391"/>
      <c r="R176" s="404" t="s">
        <v>174</v>
      </c>
    </row>
    <row r="177" spans="1:19" x14ac:dyDescent="0.35">
      <c r="A177" s="813"/>
      <c r="B177" s="747"/>
      <c r="C177" s="552">
        <v>147</v>
      </c>
      <c r="D177" s="28">
        <v>38.200000000000003</v>
      </c>
      <c r="E177" s="29">
        <f t="shared" si="6"/>
        <v>411.18098000000003</v>
      </c>
      <c r="F177" s="306"/>
      <c r="G177" s="306"/>
      <c r="H177" s="306"/>
      <c r="I177" s="306"/>
      <c r="J177" s="307" t="s">
        <v>9</v>
      </c>
      <c r="K177" s="308" t="s">
        <v>69</v>
      </c>
      <c r="L177" s="309" t="s">
        <v>9</v>
      </c>
      <c r="M177" s="306"/>
      <c r="N177" s="306"/>
      <c r="O177" s="306"/>
      <c r="P177" s="310"/>
      <c r="Q177" s="391"/>
      <c r="R177" s="404" t="s">
        <v>174</v>
      </c>
      <c r="S177" s="2" t="s">
        <v>9</v>
      </c>
    </row>
    <row r="178" spans="1:19" x14ac:dyDescent="0.35">
      <c r="A178" s="813"/>
      <c r="B178" s="747"/>
      <c r="C178" s="474">
        <v>148</v>
      </c>
      <c r="D178" s="28">
        <v>52.1</v>
      </c>
      <c r="E178" s="29">
        <f t="shared" si="6"/>
        <v>560.79918999999995</v>
      </c>
      <c r="F178" s="306"/>
      <c r="G178" s="306"/>
      <c r="H178" s="306"/>
      <c r="I178" s="306"/>
      <c r="J178" s="307" t="s">
        <v>9</v>
      </c>
      <c r="K178" s="308" t="s">
        <v>70</v>
      </c>
      <c r="L178" s="309" t="s">
        <v>9</v>
      </c>
      <c r="M178" s="306"/>
      <c r="N178" s="306"/>
      <c r="O178" s="306"/>
      <c r="P178" s="310"/>
      <c r="Q178" s="391"/>
      <c r="R178" s="404" t="s">
        <v>174</v>
      </c>
    </row>
    <row r="179" spans="1:19" x14ac:dyDescent="0.35">
      <c r="A179" s="813"/>
      <c r="B179" s="747"/>
      <c r="C179" s="474">
        <v>149</v>
      </c>
      <c r="D179" s="28">
        <v>70</v>
      </c>
      <c r="E179" s="29">
        <f t="shared" si="6"/>
        <v>753.47299999999996</v>
      </c>
      <c r="F179" s="306"/>
      <c r="G179" s="306"/>
      <c r="H179" s="306"/>
      <c r="I179" s="306" t="s">
        <v>9</v>
      </c>
      <c r="J179" s="307"/>
      <c r="K179" s="308" t="s">
        <v>70</v>
      </c>
      <c r="L179" s="309"/>
      <c r="M179" s="306" t="s">
        <v>9</v>
      </c>
      <c r="N179" s="306"/>
      <c r="O179" s="306"/>
      <c r="P179" s="310"/>
      <c r="Q179" s="393"/>
      <c r="R179" s="403" t="s">
        <v>176</v>
      </c>
    </row>
    <row r="180" spans="1:19" x14ac:dyDescent="0.35">
      <c r="A180" s="813"/>
      <c r="B180" s="747"/>
      <c r="C180" s="552">
        <v>150</v>
      </c>
      <c r="D180" s="28">
        <v>38.200000000000003</v>
      </c>
      <c r="E180" s="29">
        <f t="shared" si="6"/>
        <v>411.18098000000003</v>
      </c>
      <c r="F180" s="306"/>
      <c r="G180" s="306"/>
      <c r="H180" s="306"/>
      <c r="I180" s="306"/>
      <c r="J180" s="307" t="s">
        <v>9</v>
      </c>
      <c r="K180" s="308" t="s">
        <v>69</v>
      </c>
      <c r="L180" s="309" t="s">
        <v>9</v>
      </c>
      <c r="M180" s="306"/>
      <c r="N180" s="306"/>
      <c r="O180" s="306"/>
      <c r="P180" s="310"/>
      <c r="Q180" s="391"/>
      <c r="R180" s="404" t="s">
        <v>174</v>
      </c>
      <c r="S180" s="2" t="s">
        <v>9</v>
      </c>
    </row>
    <row r="181" spans="1:19" x14ac:dyDescent="0.35">
      <c r="A181" s="813"/>
      <c r="B181" s="747"/>
      <c r="C181" s="474">
        <v>151</v>
      </c>
      <c r="D181" s="28">
        <v>52.1</v>
      </c>
      <c r="E181" s="29">
        <f t="shared" si="6"/>
        <v>560.79918999999995</v>
      </c>
      <c r="F181" s="306"/>
      <c r="G181" s="306"/>
      <c r="H181" s="306"/>
      <c r="I181" s="306"/>
      <c r="J181" s="307" t="s">
        <v>9</v>
      </c>
      <c r="K181" s="308" t="s">
        <v>70</v>
      </c>
      <c r="L181" s="309" t="s">
        <v>9</v>
      </c>
      <c r="M181" s="306"/>
      <c r="N181" s="306"/>
      <c r="O181" s="306"/>
      <c r="P181" s="310"/>
      <c r="Q181" s="391"/>
      <c r="R181" s="404" t="s">
        <v>174</v>
      </c>
    </row>
    <row r="182" spans="1:19" x14ac:dyDescent="0.35">
      <c r="A182" s="813"/>
      <c r="B182" s="747"/>
      <c r="C182" s="552">
        <v>152</v>
      </c>
      <c r="D182" s="28">
        <v>38.200000000000003</v>
      </c>
      <c r="E182" s="29">
        <f t="shared" si="6"/>
        <v>411.18098000000003</v>
      </c>
      <c r="F182" s="306"/>
      <c r="G182" s="306"/>
      <c r="H182" s="306"/>
      <c r="I182" s="306"/>
      <c r="J182" s="307" t="s">
        <v>9</v>
      </c>
      <c r="K182" s="308" t="s">
        <v>69</v>
      </c>
      <c r="L182" s="309" t="s">
        <v>9</v>
      </c>
      <c r="M182" s="306"/>
      <c r="N182" s="306"/>
      <c r="O182" s="306"/>
      <c r="P182" s="310"/>
      <c r="Q182" s="391"/>
      <c r="R182" s="404" t="s">
        <v>174</v>
      </c>
      <c r="S182" s="2" t="s">
        <v>9</v>
      </c>
    </row>
    <row r="183" spans="1:19" x14ac:dyDescent="0.35">
      <c r="A183" s="813"/>
      <c r="B183" s="747"/>
      <c r="C183" s="474">
        <v>153</v>
      </c>
      <c r="D183" s="28">
        <v>49.8</v>
      </c>
      <c r="E183" s="29">
        <f t="shared" si="6"/>
        <v>536.04221999999993</v>
      </c>
      <c r="F183" s="306"/>
      <c r="G183" s="306"/>
      <c r="H183" s="306"/>
      <c r="I183" s="306"/>
      <c r="J183" s="307" t="s">
        <v>9</v>
      </c>
      <c r="K183" s="308" t="s">
        <v>70</v>
      </c>
      <c r="L183" s="309" t="s">
        <v>9</v>
      </c>
      <c r="M183" s="306"/>
      <c r="N183" s="306"/>
      <c r="O183" s="306"/>
      <c r="P183" s="310"/>
      <c r="Q183" s="391"/>
      <c r="R183" s="404" t="s">
        <v>174</v>
      </c>
    </row>
    <row r="184" spans="1:19" x14ac:dyDescent="0.35">
      <c r="A184" s="813"/>
      <c r="B184" s="747"/>
      <c r="C184" s="552">
        <v>154</v>
      </c>
      <c r="D184" s="28">
        <v>37.200000000000003</v>
      </c>
      <c r="E184" s="29">
        <f t="shared" ref="E184:E196" si="7">SUM(D184*10.7639)</f>
        <v>400.41708</v>
      </c>
      <c r="F184" s="306"/>
      <c r="G184" s="306"/>
      <c r="H184" s="306"/>
      <c r="I184" s="306"/>
      <c r="J184" s="307" t="s">
        <v>9</v>
      </c>
      <c r="K184" s="308" t="s">
        <v>69</v>
      </c>
      <c r="L184" s="309" t="s">
        <v>9</v>
      </c>
      <c r="M184" s="306"/>
      <c r="N184" s="306"/>
      <c r="O184" s="306"/>
      <c r="P184" s="310"/>
      <c r="Q184" s="393"/>
      <c r="R184" s="404" t="s">
        <v>174</v>
      </c>
      <c r="S184" s="2" t="s">
        <v>9</v>
      </c>
    </row>
    <row r="185" spans="1:19" x14ac:dyDescent="0.35">
      <c r="A185" s="813"/>
      <c r="B185" s="747"/>
      <c r="C185" s="474">
        <v>155</v>
      </c>
      <c r="D185" s="28">
        <v>49.8</v>
      </c>
      <c r="E185" s="29">
        <f t="shared" si="7"/>
        <v>536.04221999999993</v>
      </c>
      <c r="F185" s="306"/>
      <c r="G185" s="306"/>
      <c r="H185" s="306"/>
      <c r="I185" s="306"/>
      <c r="J185" s="307" t="s">
        <v>9</v>
      </c>
      <c r="K185" s="308" t="s">
        <v>70</v>
      </c>
      <c r="L185" s="309" t="s">
        <v>9</v>
      </c>
      <c r="M185" s="306"/>
      <c r="N185" s="306"/>
      <c r="O185" s="306"/>
      <c r="P185" s="310"/>
      <c r="Q185" s="391"/>
      <c r="R185" s="404" t="s">
        <v>174</v>
      </c>
    </row>
    <row r="186" spans="1:19" x14ac:dyDescent="0.35">
      <c r="A186" s="813"/>
      <c r="B186" s="747"/>
      <c r="C186" s="474">
        <v>156</v>
      </c>
      <c r="D186" s="28">
        <v>70.099999999999994</v>
      </c>
      <c r="E186" s="29">
        <f t="shared" si="7"/>
        <v>754.5493899999999</v>
      </c>
      <c r="F186" s="306"/>
      <c r="G186" s="306"/>
      <c r="H186" s="306" t="s">
        <v>9</v>
      </c>
      <c r="I186" s="306"/>
      <c r="J186" s="307"/>
      <c r="K186" s="308" t="s">
        <v>70</v>
      </c>
      <c r="L186" s="309"/>
      <c r="M186" s="306" t="s">
        <v>9</v>
      </c>
      <c r="N186" s="306"/>
      <c r="O186" s="306"/>
      <c r="P186" s="310"/>
      <c r="Q186" s="391"/>
      <c r="R186" s="403" t="s">
        <v>176</v>
      </c>
    </row>
    <row r="187" spans="1:19" x14ac:dyDescent="0.35">
      <c r="A187" s="813"/>
      <c r="B187" s="747"/>
      <c r="C187" s="474">
        <v>157</v>
      </c>
      <c r="D187" s="28">
        <v>49</v>
      </c>
      <c r="E187" s="29">
        <f t="shared" si="7"/>
        <v>527.43110000000001</v>
      </c>
      <c r="F187" s="306"/>
      <c r="G187" s="306"/>
      <c r="H187" s="306"/>
      <c r="I187" s="306" t="s">
        <v>9</v>
      </c>
      <c r="J187" s="307"/>
      <c r="K187" s="308" t="s">
        <v>68</v>
      </c>
      <c r="L187" s="309" t="s">
        <v>9</v>
      </c>
      <c r="M187" s="306"/>
      <c r="N187" s="306"/>
      <c r="O187" s="306"/>
      <c r="P187" s="310"/>
      <c r="Q187" s="391"/>
      <c r="R187" s="403" t="s">
        <v>176</v>
      </c>
    </row>
    <row r="188" spans="1:19" x14ac:dyDescent="0.35">
      <c r="A188" s="813"/>
      <c r="B188" s="747"/>
      <c r="C188" s="474">
        <v>158</v>
      </c>
      <c r="D188" s="28">
        <v>49</v>
      </c>
      <c r="E188" s="29">
        <f t="shared" si="7"/>
        <v>527.43110000000001</v>
      </c>
      <c r="F188" s="306"/>
      <c r="G188" s="306"/>
      <c r="H188" s="306"/>
      <c r="I188" s="306" t="s">
        <v>9</v>
      </c>
      <c r="J188" s="307"/>
      <c r="K188" s="308" t="s">
        <v>66</v>
      </c>
      <c r="L188" s="309" t="s">
        <v>9</v>
      </c>
      <c r="M188" s="306"/>
      <c r="N188" s="306"/>
      <c r="O188" s="306"/>
      <c r="P188" s="310"/>
      <c r="Q188" s="391"/>
      <c r="R188" s="403" t="s">
        <v>176</v>
      </c>
    </row>
    <row r="189" spans="1:19" x14ac:dyDescent="0.35">
      <c r="A189" s="813"/>
      <c r="B189" s="747"/>
      <c r="C189" s="474">
        <v>159</v>
      </c>
      <c r="D189" s="28">
        <v>85.2</v>
      </c>
      <c r="E189" s="29">
        <f t="shared" si="7"/>
        <v>917.08428000000004</v>
      </c>
      <c r="F189" s="306"/>
      <c r="G189" s="306"/>
      <c r="H189" s="306"/>
      <c r="I189" s="306" t="s">
        <v>9</v>
      </c>
      <c r="J189" s="307"/>
      <c r="K189" s="308" t="s">
        <v>66</v>
      </c>
      <c r="L189" s="309"/>
      <c r="M189" s="306" t="s">
        <v>9</v>
      </c>
      <c r="N189" s="306"/>
      <c r="O189" s="306"/>
      <c r="P189" s="310"/>
      <c r="Q189" s="391"/>
      <c r="R189" s="403" t="s">
        <v>176</v>
      </c>
    </row>
    <row r="190" spans="1:19" x14ac:dyDescent="0.35">
      <c r="A190" s="813"/>
      <c r="B190" s="747"/>
      <c r="C190" s="474">
        <v>160</v>
      </c>
      <c r="D190" s="28">
        <v>83.8</v>
      </c>
      <c r="E190" s="29">
        <f t="shared" si="7"/>
        <v>902.01481999999999</v>
      </c>
      <c r="F190" s="306"/>
      <c r="G190" s="306"/>
      <c r="H190" s="306" t="s">
        <v>9</v>
      </c>
      <c r="I190" s="306"/>
      <c r="J190" s="307"/>
      <c r="K190" s="308" t="s">
        <v>68</v>
      </c>
      <c r="L190" s="309"/>
      <c r="M190" s="306" t="s">
        <v>9</v>
      </c>
      <c r="N190" s="306"/>
      <c r="O190" s="306"/>
      <c r="P190" s="310"/>
      <c r="Q190" s="391"/>
      <c r="R190" s="403" t="s">
        <v>176</v>
      </c>
    </row>
    <row r="191" spans="1:19" x14ac:dyDescent="0.35">
      <c r="A191" s="813"/>
      <c r="B191" s="747"/>
      <c r="C191" s="474">
        <v>161</v>
      </c>
      <c r="D191" s="28">
        <v>79.599999999999994</v>
      </c>
      <c r="E191" s="29">
        <f t="shared" si="7"/>
        <v>856.80643999999995</v>
      </c>
      <c r="F191" s="306"/>
      <c r="G191" s="306"/>
      <c r="H191" s="306" t="s">
        <v>9</v>
      </c>
      <c r="I191" s="306"/>
      <c r="J191" s="307"/>
      <c r="K191" s="308" t="s">
        <v>169</v>
      </c>
      <c r="L191" s="309"/>
      <c r="M191" s="306" t="s">
        <v>9</v>
      </c>
      <c r="N191" s="306"/>
      <c r="O191" s="306"/>
      <c r="P191" s="310"/>
      <c r="Q191" s="391"/>
      <c r="R191" s="403" t="s">
        <v>176</v>
      </c>
    </row>
    <row r="192" spans="1:19" x14ac:dyDescent="0.35">
      <c r="A192" s="813"/>
      <c r="B192" s="747"/>
      <c r="C192" s="474">
        <v>162</v>
      </c>
      <c r="D192" s="28">
        <v>79.599999999999994</v>
      </c>
      <c r="E192" s="29">
        <f t="shared" si="7"/>
        <v>856.80643999999995</v>
      </c>
      <c r="F192" s="306"/>
      <c r="G192" s="306"/>
      <c r="H192" s="306"/>
      <c r="I192" s="306" t="s">
        <v>9</v>
      </c>
      <c r="J192" s="307"/>
      <c r="K192" s="308" t="s">
        <v>66</v>
      </c>
      <c r="L192" s="309"/>
      <c r="M192" s="306" t="s">
        <v>9</v>
      </c>
      <c r="N192" s="306"/>
      <c r="O192" s="306"/>
      <c r="P192" s="310"/>
      <c r="Q192" s="391"/>
      <c r="R192" s="403" t="s">
        <v>176</v>
      </c>
    </row>
    <row r="193" spans="1:19" x14ac:dyDescent="0.35">
      <c r="A193" s="813"/>
      <c r="B193" s="748"/>
      <c r="C193" s="474">
        <v>163</v>
      </c>
      <c r="D193" s="28">
        <v>80</v>
      </c>
      <c r="E193" s="29">
        <f t="shared" si="7"/>
        <v>861.11199999999997</v>
      </c>
      <c r="F193" s="306"/>
      <c r="G193" s="306"/>
      <c r="H193" s="306"/>
      <c r="I193" s="306" t="s">
        <v>9</v>
      </c>
      <c r="J193" s="307"/>
      <c r="K193" s="308" t="s">
        <v>66</v>
      </c>
      <c r="L193" s="309"/>
      <c r="M193" s="306" t="s">
        <v>9</v>
      </c>
      <c r="N193" s="306"/>
      <c r="O193" s="306"/>
      <c r="P193" s="310"/>
      <c r="Q193" s="391" t="s">
        <v>9</v>
      </c>
      <c r="R193" s="403" t="s">
        <v>176</v>
      </c>
    </row>
    <row r="194" spans="1:19" x14ac:dyDescent="0.35">
      <c r="A194" s="813"/>
      <c r="B194" s="747" t="s">
        <v>27</v>
      </c>
      <c r="C194" s="474">
        <v>164</v>
      </c>
      <c r="D194" s="28">
        <v>80</v>
      </c>
      <c r="E194" s="29">
        <f t="shared" si="7"/>
        <v>861.11199999999997</v>
      </c>
      <c r="F194" s="306"/>
      <c r="G194" s="306"/>
      <c r="H194" s="306" t="s">
        <v>9</v>
      </c>
      <c r="I194" s="306"/>
      <c r="J194" s="307"/>
      <c r="K194" s="308" t="s">
        <v>68</v>
      </c>
      <c r="L194" s="309"/>
      <c r="M194" s="306" t="s">
        <v>9</v>
      </c>
      <c r="N194" s="306"/>
      <c r="O194" s="306"/>
      <c r="P194" s="310"/>
      <c r="Q194" s="391"/>
      <c r="R194" s="403" t="s">
        <v>176</v>
      </c>
    </row>
    <row r="195" spans="1:19" x14ac:dyDescent="0.35">
      <c r="A195" s="813"/>
      <c r="B195" s="747"/>
      <c r="C195" s="552">
        <v>165</v>
      </c>
      <c r="D195" s="28">
        <v>43.2</v>
      </c>
      <c r="E195" s="29">
        <f t="shared" si="7"/>
        <v>465.00048000000004</v>
      </c>
      <c r="F195" s="306"/>
      <c r="G195" s="306"/>
      <c r="H195" s="554" t="s">
        <v>9</v>
      </c>
      <c r="I195" s="306"/>
      <c r="J195" s="307"/>
      <c r="K195" s="308" t="s">
        <v>68</v>
      </c>
      <c r="L195" s="309" t="s">
        <v>9</v>
      </c>
      <c r="M195" s="306"/>
      <c r="N195" s="306"/>
      <c r="O195" s="306"/>
      <c r="P195" s="310"/>
      <c r="Q195" s="391"/>
      <c r="R195" s="404" t="s">
        <v>174</v>
      </c>
      <c r="S195" s="2" t="s">
        <v>9</v>
      </c>
    </row>
    <row r="196" spans="1:19" x14ac:dyDescent="0.35">
      <c r="A196" s="813"/>
      <c r="B196" s="747"/>
      <c r="C196" s="474">
        <v>166</v>
      </c>
      <c r="D196" s="28">
        <v>71.7</v>
      </c>
      <c r="E196" s="29">
        <f t="shared" si="7"/>
        <v>771.77162999999996</v>
      </c>
      <c r="F196" s="306"/>
      <c r="G196" s="306"/>
      <c r="H196" s="306"/>
      <c r="I196" s="306"/>
      <c r="J196" s="307" t="s">
        <v>9</v>
      </c>
      <c r="K196" s="308" t="s">
        <v>169</v>
      </c>
      <c r="L196" s="309"/>
      <c r="M196" s="306" t="s">
        <v>9</v>
      </c>
      <c r="N196" s="306"/>
      <c r="O196" s="306"/>
      <c r="P196" s="310"/>
      <c r="Q196" s="391"/>
      <c r="R196" s="404" t="s">
        <v>174</v>
      </c>
    </row>
    <row r="197" spans="1:19" x14ac:dyDescent="0.35">
      <c r="A197" s="813"/>
      <c r="B197" s="747"/>
      <c r="C197" s="474">
        <v>167</v>
      </c>
      <c r="D197" s="28">
        <v>52.3</v>
      </c>
      <c r="E197" s="29">
        <f t="shared" ref="E197:E211" si="8">SUM(D197*10.7639)</f>
        <v>562.95196999999996</v>
      </c>
      <c r="F197" s="306"/>
      <c r="G197" s="306"/>
      <c r="H197" s="306"/>
      <c r="I197" s="306"/>
      <c r="J197" s="307" t="s">
        <v>9</v>
      </c>
      <c r="K197" s="308" t="s">
        <v>68</v>
      </c>
      <c r="L197" s="309" t="s">
        <v>9</v>
      </c>
      <c r="M197" s="306"/>
      <c r="N197" s="306"/>
      <c r="O197" s="306"/>
      <c r="P197" s="310"/>
      <c r="Q197" s="393"/>
      <c r="R197" s="404" t="s">
        <v>174</v>
      </c>
    </row>
    <row r="198" spans="1:19" x14ac:dyDescent="0.35">
      <c r="A198" s="813"/>
      <c r="B198" s="747"/>
      <c r="C198" s="474">
        <v>168</v>
      </c>
      <c r="D198" s="28">
        <v>71.7</v>
      </c>
      <c r="E198" s="29">
        <f t="shared" si="8"/>
        <v>771.77162999999996</v>
      </c>
      <c r="F198" s="306"/>
      <c r="G198" s="306"/>
      <c r="H198" s="306"/>
      <c r="I198" s="306"/>
      <c r="J198" s="307" t="s">
        <v>9</v>
      </c>
      <c r="K198" s="308" t="s">
        <v>69</v>
      </c>
      <c r="L198" s="309"/>
      <c r="M198" s="306" t="s">
        <v>9</v>
      </c>
      <c r="N198" s="306"/>
      <c r="O198" s="306"/>
      <c r="P198" s="310"/>
      <c r="Q198" s="391"/>
      <c r="R198" s="404" t="s">
        <v>174</v>
      </c>
    </row>
    <row r="199" spans="1:19" x14ac:dyDescent="0.35">
      <c r="A199" s="813"/>
      <c r="B199" s="747"/>
      <c r="C199" s="474">
        <v>169</v>
      </c>
      <c r="D199" s="28">
        <v>52.3</v>
      </c>
      <c r="E199" s="29">
        <f t="shared" si="8"/>
        <v>562.95196999999996</v>
      </c>
      <c r="F199" s="306"/>
      <c r="G199" s="306"/>
      <c r="H199" s="306"/>
      <c r="I199" s="306"/>
      <c r="J199" s="307" t="s">
        <v>9</v>
      </c>
      <c r="K199" s="308" t="s">
        <v>68</v>
      </c>
      <c r="L199" s="309" t="s">
        <v>9</v>
      </c>
      <c r="M199" s="306"/>
      <c r="N199" s="306"/>
      <c r="O199" s="306"/>
      <c r="P199" s="310"/>
      <c r="Q199" s="391"/>
      <c r="R199" s="404" t="s">
        <v>174</v>
      </c>
    </row>
    <row r="200" spans="1:19" x14ac:dyDescent="0.35">
      <c r="A200" s="813"/>
      <c r="B200" s="747"/>
      <c r="C200" s="474">
        <v>170</v>
      </c>
      <c r="D200" s="28">
        <v>71.7</v>
      </c>
      <c r="E200" s="29">
        <f t="shared" si="8"/>
        <v>771.77162999999996</v>
      </c>
      <c r="F200" s="306"/>
      <c r="G200" s="306"/>
      <c r="H200" s="306"/>
      <c r="I200" s="306"/>
      <c r="J200" s="307" t="s">
        <v>9</v>
      </c>
      <c r="K200" s="308" t="s">
        <v>69</v>
      </c>
      <c r="L200" s="309"/>
      <c r="M200" s="306" t="s">
        <v>9</v>
      </c>
      <c r="N200" s="306"/>
      <c r="O200" s="306"/>
      <c r="P200" s="310"/>
      <c r="Q200" s="391"/>
      <c r="R200" s="404" t="s">
        <v>174</v>
      </c>
    </row>
    <row r="201" spans="1:19" x14ac:dyDescent="0.35">
      <c r="A201" s="813"/>
      <c r="B201" s="747"/>
      <c r="C201" s="474">
        <v>171</v>
      </c>
      <c r="D201" s="28">
        <v>52.3</v>
      </c>
      <c r="E201" s="29">
        <f t="shared" si="8"/>
        <v>562.95196999999996</v>
      </c>
      <c r="F201" s="306"/>
      <c r="G201" s="306"/>
      <c r="H201" s="306"/>
      <c r="I201" s="306"/>
      <c r="J201" s="307" t="s">
        <v>9</v>
      </c>
      <c r="K201" s="308" t="s">
        <v>68</v>
      </c>
      <c r="L201" s="309" t="s">
        <v>9</v>
      </c>
      <c r="M201" s="306"/>
      <c r="N201" s="306"/>
      <c r="O201" s="306"/>
      <c r="P201" s="310"/>
      <c r="Q201" s="391"/>
      <c r="R201" s="404" t="s">
        <v>174</v>
      </c>
    </row>
    <row r="202" spans="1:19" x14ac:dyDescent="0.35">
      <c r="A202" s="813"/>
      <c r="B202" s="747"/>
      <c r="C202" s="474">
        <v>172</v>
      </c>
      <c r="D202" s="28">
        <v>71.7</v>
      </c>
      <c r="E202" s="29">
        <f t="shared" si="8"/>
        <v>771.77162999999996</v>
      </c>
      <c r="F202" s="306"/>
      <c r="G202" s="306"/>
      <c r="H202" s="306"/>
      <c r="I202" s="306"/>
      <c r="J202" s="307" t="s">
        <v>9</v>
      </c>
      <c r="K202" s="308" t="s">
        <v>69</v>
      </c>
      <c r="L202" s="309"/>
      <c r="M202" s="306" t="s">
        <v>9</v>
      </c>
      <c r="N202" s="306"/>
      <c r="O202" s="306"/>
      <c r="P202" s="310"/>
      <c r="Q202" s="392"/>
      <c r="R202" s="404" t="s">
        <v>174</v>
      </c>
    </row>
    <row r="203" spans="1:19" x14ac:dyDescent="0.35">
      <c r="A203" s="813"/>
      <c r="B203" s="747"/>
      <c r="C203" s="474">
        <v>173</v>
      </c>
      <c r="D203" s="28">
        <v>71.7</v>
      </c>
      <c r="E203" s="29">
        <f t="shared" si="8"/>
        <v>771.77162999999996</v>
      </c>
      <c r="F203" s="306"/>
      <c r="G203" s="306"/>
      <c r="H203" s="306"/>
      <c r="I203" s="306"/>
      <c r="J203" s="307" t="s">
        <v>9</v>
      </c>
      <c r="K203" s="308" t="s">
        <v>69</v>
      </c>
      <c r="L203" s="309"/>
      <c r="M203" s="306" t="s">
        <v>9</v>
      </c>
      <c r="N203" s="306"/>
      <c r="O203" s="306"/>
      <c r="P203" s="310"/>
      <c r="Q203" s="393"/>
      <c r="R203" s="404" t="s">
        <v>174</v>
      </c>
    </row>
    <row r="204" spans="1:19" x14ac:dyDescent="0.35">
      <c r="A204" s="813"/>
      <c r="B204" s="747"/>
      <c r="C204" s="474">
        <v>174</v>
      </c>
      <c r="D204" s="28">
        <v>54.3</v>
      </c>
      <c r="E204" s="29">
        <f t="shared" si="8"/>
        <v>584.47976999999992</v>
      </c>
      <c r="F204" s="306"/>
      <c r="G204" s="306"/>
      <c r="H204" s="306" t="s">
        <v>9</v>
      </c>
      <c r="I204" s="306"/>
      <c r="J204" s="307"/>
      <c r="K204" s="308" t="s">
        <v>67</v>
      </c>
      <c r="L204" s="309" t="s">
        <v>9</v>
      </c>
      <c r="M204" s="306"/>
      <c r="N204" s="306"/>
      <c r="O204" s="306"/>
      <c r="P204" s="310"/>
      <c r="Q204" s="391"/>
      <c r="R204" s="404" t="s">
        <v>174</v>
      </c>
    </row>
    <row r="205" spans="1:19" x14ac:dyDescent="0.35">
      <c r="A205" s="813"/>
      <c r="B205" s="747"/>
      <c r="C205" s="474">
        <v>175</v>
      </c>
      <c r="D205" s="28">
        <v>54.3</v>
      </c>
      <c r="E205" s="29">
        <f t="shared" si="8"/>
        <v>584.47976999999992</v>
      </c>
      <c r="F205" s="306"/>
      <c r="G205" s="306"/>
      <c r="H205" s="306"/>
      <c r="I205" s="306"/>
      <c r="J205" s="307" t="s">
        <v>9</v>
      </c>
      <c r="K205" s="308" t="s">
        <v>68</v>
      </c>
      <c r="L205" s="309" t="s">
        <v>9</v>
      </c>
      <c r="M205" s="306"/>
      <c r="N205" s="306"/>
      <c r="O205" s="306"/>
      <c r="P205" s="310"/>
      <c r="Q205" s="391"/>
      <c r="R205" s="404" t="s">
        <v>174</v>
      </c>
    </row>
    <row r="206" spans="1:19" x14ac:dyDescent="0.35">
      <c r="A206" s="813"/>
      <c r="B206" s="747"/>
      <c r="C206" s="474">
        <v>176</v>
      </c>
      <c r="D206" s="28">
        <v>54.7</v>
      </c>
      <c r="E206" s="29">
        <f t="shared" si="8"/>
        <v>588.78533000000004</v>
      </c>
      <c r="F206" s="306"/>
      <c r="G206" s="306"/>
      <c r="H206" s="306"/>
      <c r="I206" s="306"/>
      <c r="J206" s="307" t="s">
        <v>9</v>
      </c>
      <c r="K206" s="308" t="s">
        <v>69</v>
      </c>
      <c r="L206" s="309" t="s">
        <v>9</v>
      </c>
      <c r="M206" s="306"/>
      <c r="N206" s="306"/>
      <c r="O206" s="306"/>
      <c r="P206" s="310"/>
      <c r="Q206" s="391"/>
      <c r="R206" s="404" t="s">
        <v>174</v>
      </c>
    </row>
    <row r="207" spans="1:19" x14ac:dyDescent="0.35">
      <c r="A207" s="813"/>
      <c r="B207" s="747"/>
      <c r="C207" s="474">
        <v>177</v>
      </c>
      <c r="D207" s="28">
        <v>54.3</v>
      </c>
      <c r="E207" s="29">
        <f t="shared" si="8"/>
        <v>584.47976999999992</v>
      </c>
      <c r="F207" s="306"/>
      <c r="G207" s="306"/>
      <c r="H207" s="306"/>
      <c r="I207" s="306"/>
      <c r="J207" s="307" t="s">
        <v>9</v>
      </c>
      <c r="K207" s="308" t="s">
        <v>68</v>
      </c>
      <c r="L207" s="309" t="s">
        <v>9</v>
      </c>
      <c r="M207" s="306"/>
      <c r="N207" s="306"/>
      <c r="O207" s="306"/>
      <c r="P207" s="310"/>
      <c r="Q207" s="391"/>
      <c r="R207" s="404" t="s">
        <v>174</v>
      </c>
    </row>
    <row r="208" spans="1:19" x14ac:dyDescent="0.35">
      <c r="A208" s="813"/>
      <c r="B208" s="747"/>
      <c r="C208" s="474">
        <v>178</v>
      </c>
      <c r="D208" s="28">
        <v>54.7</v>
      </c>
      <c r="E208" s="29">
        <f t="shared" si="8"/>
        <v>588.78533000000004</v>
      </c>
      <c r="F208" s="306"/>
      <c r="G208" s="306"/>
      <c r="H208" s="306"/>
      <c r="I208" s="306"/>
      <c r="J208" s="307" t="s">
        <v>9</v>
      </c>
      <c r="K208" s="308" t="s">
        <v>69</v>
      </c>
      <c r="L208" s="309" t="s">
        <v>9</v>
      </c>
      <c r="M208" s="306"/>
      <c r="N208" s="306"/>
      <c r="O208" s="306"/>
      <c r="P208" s="310"/>
      <c r="Q208" s="391"/>
      <c r="R208" s="404" t="s">
        <v>174</v>
      </c>
    </row>
    <row r="209" spans="1:19" x14ac:dyDescent="0.35">
      <c r="A209" s="813"/>
      <c r="B209" s="747"/>
      <c r="C209" s="474">
        <v>179</v>
      </c>
      <c r="D209" s="28">
        <v>54.3</v>
      </c>
      <c r="E209" s="29">
        <f t="shared" si="8"/>
        <v>584.47976999999992</v>
      </c>
      <c r="F209" s="306"/>
      <c r="G209" s="306"/>
      <c r="H209" s="306"/>
      <c r="I209" s="306"/>
      <c r="J209" s="307" t="s">
        <v>9</v>
      </c>
      <c r="K209" s="308" t="s">
        <v>68</v>
      </c>
      <c r="L209" s="309" t="s">
        <v>9</v>
      </c>
      <c r="M209" s="306"/>
      <c r="N209" s="306"/>
      <c r="O209" s="306"/>
      <c r="P209" s="310"/>
      <c r="Q209" s="391"/>
      <c r="R209" s="404" t="s">
        <v>174</v>
      </c>
    </row>
    <row r="210" spans="1:19" x14ac:dyDescent="0.35">
      <c r="A210" s="813"/>
      <c r="B210" s="747"/>
      <c r="C210" s="474">
        <v>180</v>
      </c>
      <c r="D210" s="28">
        <v>54.7</v>
      </c>
      <c r="E210" s="29">
        <f t="shared" si="8"/>
        <v>588.78533000000004</v>
      </c>
      <c r="F210" s="306"/>
      <c r="G210" s="306"/>
      <c r="H210" s="306"/>
      <c r="I210" s="306"/>
      <c r="J210" s="307" t="s">
        <v>9</v>
      </c>
      <c r="K210" s="308" t="s">
        <v>68</v>
      </c>
      <c r="L210" s="309" t="s">
        <v>9</v>
      </c>
      <c r="M210" s="306"/>
      <c r="N210" s="306"/>
      <c r="O210" s="306"/>
      <c r="P210" s="310"/>
      <c r="Q210" s="391"/>
      <c r="R210" s="404" t="s">
        <v>174</v>
      </c>
    </row>
    <row r="211" spans="1:19" x14ac:dyDescent="0.35">
      <c r="A211" s="813"/>
      <c r="B211" s="747"/>
      <c r="C211" s="474">
        <v>181</v>
      </c>
      <c r="D211" s="28">
        <v>54.7</v>
      </c>
      <c r="E211" s="29">
        <f t="shared" si="8"/>
        <v>588.78533000000004</v>
      </c>
      <c r="F211" s="306"/>
      <c r="G211" s="306"/>
      <c r="H211" s="306"/>
      <c r="I211" s="306"/>
      <c r="J211" s="307" t="s">
        <v>9</v>
      </c>
      <c r="K211" s="308" t="s">
        <v>69</v>
      </c>
      <c r="L211" s="309" t="s">
        <v>9</v>
      </c>
      <c r="M211" s="306"/>
      <c r="N211" s="306"/>
      <c r="O211" s="306"/>
      <c r="P211" s="310"/>
      <c r="Q211" s="391"/>
      <c r="R211" s="404" t="s">
        <v>174</v>
      </c>
    </row>
    <row r="212" spans="1:19" x14ac:dyDescent="0.35">
      <c r="A212" s="813"/>
      <c r="B212" s="747"/>
      <c r="C212" s="474">
        <v>182</v>
      </c>
      <c r="D212" s="28">
        <v>54.7</v>
      </c>
      <c r="E212" s="29">
        <f t="shared" ref="E212:E223" si="9">SUM(D212*10.7639)</f>
        <v>588.78533000000004</v>
      </c>
      <c r="F212" s="306"/>
      <c r="G212" s="306"/>
      <c r="H212" s="306" t="s">
        <v>9</v>
      </c>
      <c r="I212" s="306"/>
      <c r="J212" s="307"/>
      <c r="K212" s="308" t="s">
        <v>169</v>
      </c>
      <c r="L212" s="309" t="s">
        <v>9</v>
      </c>
      <c r="M212" s="306"/>
      <c r="N212" s="306"/>
      <c r="O212" s="306"/>
      <c r="P212" s="310"/>
      <c r="Q212" s="393"/>
      <c r="R212" s="404" t="s">
        <v>174</v>
      </c>
    </row>
    <row r="213" spans="1:19" ht="17.25" customHeight="1" x14ac:dyDescent="0.35">
      <c r="A213" s="813"/>
      <c r="B213" s="747"/>
      <c r="C213" s="474">
        <v>183</v>
      </c>
      <c r="D213" s="28">
        <v>93.1</v>
      </c>
      <c r="E213" s="29">
        <f t="shared" si="9"/>
        <v>1002.1190899999999</v>
      </c>
      <c r="F213" s="306"/>
      <c r="G213" s="306"/>
      <c r="H213" s="306" t="s">
        <v>9</v>
      </c>
      <c r="I213" s="306"/>
      <c r="J213" s="307"/>
      <c r="K213" s="308" t="s">
        <v>68</v>
      </c>
      <c r="L213" s="309"/>
      <c r="M213" s="306"/>
      <c r="N213" s="306" t="s">
        <v>9</v>
      </c>
      <c r="O213" s="306"/>
      <c r="P213" s="310"/>
      <c r="Q213" s="391"/>
      <c r="R213" s="403" t="s">
        <v>176</v>
      </c>
    </row>
    <row r="214" spans="1:19" x14ac:dyDescent="0.35">
      <c r="A214" s="813"/>
      <c r="B214" s="747"/>
      <c r="C214" s="474">
        <v>184</v>
      </c>
      <c r="D214" s="28">
        <v>49.9</v>
      </c>
      <c r="E214" s="29">
        <f t="shared" si="9"/>
        <v>537.11860999999999</v>
      </c>
      <c r="F214" s="306"/>
      <c r="G214" s="306"/>
      <c r="H214" s="306"/>
      <c r="I214" s="306"/>
      <c r="J214" s="307" t="s">
        <v>9</v>
      </c>
      <c r="K214" s="308" t="s">
        <v>68</v>
      </c>
      <c r="L214" s="309" t="s">
        <v>9</v>
      </c>
      <c r="M214" s="306"/>
      <c r="N214" s="306"/>
      <c r="O214" s="306"/>
      <c r="P214" s="310"/>
      <c r="Q214" s="391"/>
      <c r="R214" s="404" t="s">
        <v>174</v>
      </c>
    </row>
    <row r="215" spans="1:19" x14ac:dyDescent="0.35">
      <c r="A215" s="813"/>
      <c r="B215" s="747"/>
      <c r="C215" s="474">
        <v>185</v>
      </c>
      <c r="D215" s="28">
        <v>51.7</v>
      </c>
      <c r="E215" s="29">
        <f t="shared" si="9"/>
        <v>556.49363000000005</v>
      </c>
      <c r="F215" s="306"/>
      <c r="G215" s="306"/>
      <c r="H215" s="306"/>
      <c r="I215" s="306"/>
      <c r="J215" s="307" t="s">
        <v>9</v>
      </c>
      <c r="K215" s="308" t="s">
        <v>68</v>
      </c>
      <c r="L215" s="309" t="s">
        <v>9</v>
      </c>
      <c r="M215" s="306"/>
      <c r="N215" s="306"/>
      <c r="O215" s="306"/>
      <c r="P215" s="310"/>
      <c r="Q215" s="391"/>
      <c r="R215" s="404" t="s">
        <v>174</v>
      </c>
    </row>
    <row r="216" spans="1:19" x14ac:dyDescent="0.35">
      <c r="A216" s="813"/>
      <c r="B216" s="747"/>
      <c r="C216" s="474">
        <v>186</v>
      </c>
      <c r="D216" s="28">
        <v>50.2</v>
      </c>
      <c r="E216" s="29">
        <f t="shared" si="9"/>
        <v>540.34778000000006</v>
      </c>
      <c r="F216" s="306"/>
      <c r="G216" s="306"/>
      <c r="H216" s="306"/>
      <c r="I216" s="306"/>
      <c r="J216" s="307" t="s">
        <v>9</v>
      </c>
      <c r="K216" s="308" t="s">
        <v>68</v>
      </c>
      <c r="L216" s="309" t="s">
        <v>9</v>
      </c>
      <c r="M216" s="306"/>
      <c r="N216" s="306"/>
      <c r="O216" s="306"/>
      <c r="P216" s="310"/>
      <c r="Q216" s="393"/>
      <c r="R216" s="404" t="s">
        <v>174</v>
      </c>
    </row>
    <row r="217" spans="1:19" x14ac:dyDescent="0.35">
      <c r="A217" s="813"/>
      <c r="B217" s="747"/>
      <c r="C217" s="474">
        <v>187</v>
      </c>
      <c r="D217" s="28">
        <v>53.6</v>
      </c>
      <c r="E217" s="29">
        <f t="shared" si="9"/>
        <v>576.94503999999995</v>
      </c>
      <c r="F217" s="306"/>
      <c r="G217" s="306"/>
      <c r="H217" s="306"/>
      <c r="I217" s="306"/>
      <c r="J217" s="307" t="s">
        <v>9</v>
      </c>
      <c r="K217" s="308" t="s">
        <v>69</v>
      </c>
      <c r="L217" s="309" t="s">
        <v>9</v>
      </c>
      <c r="M217" s="306"/>
      <c r="N217" s="306"/>
      <c r="O217" s="306"/>
      <c r="P217" s="310"/>
      <c r="Q217" s="391"/>
      <c r="R217" s="404" t="s">
        <v>174</v>
      </c>
    </row>
    <row r="218" spans="1:19" x14ac:dyDescent="0.35">
      <c r="A218" s="813"/>
      <c r="B218" s="747"/>
      <c r="C218" s="474">
        <v>188</v>
      </c>
      <c r="D218" s="28">
        <v>50.1</v>
      </c>
      <c r="E218" s="29">
        <f t="shared" si="9"/>
        <v>539.27139</v>
      </c>
      <c r="F218" s="306"/>
      <c r="G218" s="306"/>
      <c r="H218" s="306"/>
      <c r="I218" s="306"/>
      <c r="J218" s="307" t="s">
        <v>9</v>
      </c>
      <c r="K218" s="308" t="s">
        <v>68</v>
      </c>
      <c r="L218" s="309" t="s">
        <v>9</v>
      </c>
      <c r="M218" s="306"/>
      <c r="N218" s="306"/>
      <c r="O218" s="306"/>
      <c r="P218" s="310"/>
      <c r="Q218" s="392"/>
      <c r="R218" s="404" t="s">
        <v>174</v>
      </c>
    </row>
    <row r="219" spans="1:19" x14ac:dyDescent="0.35">
      <c r="A219" s="813"/>
      <c r="B219" s="747"/>
      <c r="C219" s="552">
        <v>189</v>
      </c>
      <c r="D219" s="28">
        <v>40.5</v>
      </c>
      <c r="E219" s="29">
        <f t="shared" si="9"/>
        <v>435.93795</v>
      </c>
      <c r="F219" s="306"/>
      <c r="G219" s="306"/>
      <c r="H219" s="306"/>
      <c r="I219" s="306"/>
      <c r="J219" s="307" t="s">
        <v>9</v>
      </c>
      <c r="K219" s="308" t="s">
        <v>68</v>
      </c>
      <c r="L219" s="309" t="s">
        <v>9</v>
      </c>
      <c r="M219" s="306"/>
      <c r="N219" s="306"/>
      <c r="O219" s="306"/>
      <c r="P219" s="310"/>
      <c r="Q219" s="393"/>
      <c r="R219" s="404" t="s">
        <v>174</v>
      </c>
      <c r="S219" s="2" t="s">
        <v>9</v>
      </c>
    </row>
    <row r="220" spans="1:19" x14ac:dyDescent="0.35">
      <c r="A220" s="813"/>
      <c r="B220" s="747"/>
      <c r="C220" s="552">
        <v>190</v>
      </c>
      <c r="D220" s="28">
        <v>40.5</v>
      </c>
      <c r="E220" s="29">
        <f t="shared" si="9"/>
        <v>435.93795</v>
      </c>
      <c r="F220" s="306"/>
      <c r="G220" s="306"/>
      <c r="H220" s="306"/>
      <c r="I220" s="306"/>
      <c r="J220" s="307" t="s">
        <v>9</v>
      </c>
      <c r="K220" s="308" t="s">
        <v>68</v>
      </c>
      <c r="L220" s="309" t="s">
        <v>9</v>
      </c>
      <c r="M220" s="306"/>
      <c r="N220" s="306"/>
      <c r="O220" s="306"/>
      <c r="P220" s="310"/>
      <c r="Q220" s="391"/>
      <c r="R220" s="404" t="s">
        <v>174</v>
      </c>
      <c r="S220" s="2" t="s">
        <v>9</v>
      </c>
    </row>
    <row r="221" spans="1:19" x14ac:dyDescent="0.35">
      <c r="A221" s="813"/>
      <c r="B221" s="747"/>
      <c r="C221" s="552">
        <v>191</v>
      </c>
      <c r="D221" s="28">
        <v>40.5</v>
      </c>
      <c r="E221" s="29">
        <f t="shared" si="9"/>
        <v>435.93795</v>
      </c>
      <c r="F221" s="306"/>
      <c r="G221" s="306"/>
      <c r="H221" s="306"/>
      <c r="I221" s="306"/>
      <c r="J221" s="307" t="s">
        <v>9</v>
      </c>
      <c r="K221" s="308" t="s">
        <v>68</v>
      </c>
      <c r="L221" s="309" t="s">
        <v>9</v>
      </c>
      <c r="M221" s="306"/>
      <c r="N221" s="306"/>
      <c r="O221" s="306"/>
      <c r="P221" s="310"/>
      <c r="Q221" s="393"/>
      <c r="R221" s="404" t="s">
        <v>174</v>
      </c>
      <c r="S221" s="2" t="s">
        <v>9</v>
      </c>
    </row>
    <row r="222" spans="1:19" x14ac:dyDescent="0.35">
      <c r="A222" s="813"/>
      <c r="B222" s="747"/>
      <c r="C222" s="552">
        <v>192</v>
      </c>
      <c r="D222" s="28">
        <v>40.5</v>
      </c>
      <c r="E222" s="29">
        <f t="shared" si="9"/>
        <v>435.93795</v>
      </c>
      <c r="F222" s="306"/>
      <c r="G222" s="306"/>
      <c r="H222" s="306"/>
      <c r="I222" s="306"/>
      <c r="J222" s="307" t="s">
        <v>9</v>
      </c>
      <c r="K222" s="308" t="s">
        <v>68</v>
      </c>
      <c r="L222" s="309" t="s">
        <v>9</v>
      </c>
      <c r="M222" s="306"/>
      <c r="N222" s="306"/>
      <c r="O222" s="306"/>
      <c r="P222" s="310"/>
      <c r="Q222" s="391"/>
      <c r="R222" s="404" t="s">
        <v>174</v>
      </c>
      <c r="S222" s="2" t="s">
        <v>9</v>
      </c>
    </row>
    <row r="223" spans="1:19" x14ac:dyDescent="0.35">
      <c r="A223" s="813"/>
      <c r="B223" s="747"/>
      <c r="C223" s="552">
        <v>193</v>
      </c>
      <c r="D223" s="28">
        <v>40.5</v>
      </c>
      <c r="E223" s="29">
        <f t="shared" si="9"/>
        <v>435.93795</v>
      </c>
      <c r="F223" s="306"/>
      <c r="G223" s="306"/>
      <c r="H223" s="306"/>
      <c r="I223" s="306"/>
      <c r="J223" s="307" t="s">
        <v>9</v>
      </c>
      <c r="K223" s="308" t="s">
        <v>68</v>
      </c>
      <c r="L223" s="309" t="s">
        <v>9</v>
      </c>
      <c r="M223" s="306"/>
      <c r="N223" s="306"/>
      <c r="O223" s="306"/>
      <c r="P223" s="310"/>
      <c r="Q223" s="393"/>
      <c r="R223" s="404" t="s">
        <v>174</v>
      </c>
      <c r="S223" s="2" t="s">
        <v>9</v>
      </c>
    </row>
    <row r="224" spans="1:19" x14ac:dyDescent="0.35">
      <c r="A224" s="813"/>
      <c r="B224" s="747"/>
      <c r="C224" s="474">
        <v>194</v>
      </c>
      <c r="D224" s="28">
        <v>73.5</v>
      </c>
      <c r="E224" s="29">
        <f>SUM(D224*10.7639)</f>
        <v>791.14665000000002</v>
      </c>
      <c r="F224" s="306"/>
      <c r="G224" s="306"/>
      <c r="H224" s="306"/>
      <c r="I224" s="306"/>
      <c r="J224" s="307" t="s">
        <v>9</v>
      </c>
      <c r="K224" s="308" t="s">
        <v>68</v>
      </c>
      <c r="L224" s="309"/>
      <c r="M224" s="306" t="s">
        <v>9</v>
      </c>
      <c r="N224" s="306"/>
      <c r="O224" s="306"/>
      <c r="P224" s="310"/>
      <c r="Q224" s="391"/>
      <c r="R224" s="404" t="s">
        <v>174</v>
      </c>
    </row>
    <row r="225" spans="1:18" x14ac:dyDescent="0.35">
      <c r="A225" s="813"/>
      <c r="B225" s="747"/>
      <c r="C225" s="474">
        <v>195</v>
      </c>
      <c r="D225" s="28">
        <v>49.9</v>
      </c>
      <c r="E225" s="29">
        <f t="shared" ref="E225:E272" si="10">SUM(D225*10.7639)</f>
        <v>537.11860999999999</v>
      </c>
      <c r="F225" s="306"/>
      <c r="G225" s="306"/>
      <c r="H225" s="306"/>
      <c r="I225" s="306"/>
      <c r="J225" s="307" t="s">
        <v>9</v>
      </c>
      <c r="K225" s="308" t="s">
        <v>68</v>
      </c>
      <c r="L225" s="309" t="s">
        <v>9</v>
      </c>
      <c r="M225" s="306"/>
      <c r="N225" s="306"/>
      <c r="O225" s="306"/>
      <c r="P225" s="310"/>
      <c r="Q225" s="392"/>
      <c r="R225" s="404" t="s">
        <v>174</v>
      </c>
    </row>
    <row r="226" spans="1:18" x14ac:dyDescent="0.35">
      <c r="A226" s="813"/>
      <c r="B226" s="747"/>
      <c r="C226" s="474">
        <v>196</v>
      </c>
      <c r="D226" s="28">
        <v>51.7</v>
      </c>
      <c r="E226" s="29">
        <f t="shared" si="10"/>
        <v>556.49363000000005</v>
      </c>
      <c r="F226" s="306"/>
      <c r="G226" s="306"/>
      <c r="H226" s="306"/>
      <c r="I226" s="306"/>
      <c r="J226" s="307" t="s">
        <v>9</v>
      </c>
      <c r="K226" s="308" t="s">
        <v>68</v>
      </c>
      <c r="L226" s="309" t="s">
        <v>9</v>
      </c>
      <c r="M226" s="306"/>
      <c r="N226" s="306"/>
      <c r="O226" s="306"/>
      <c r="P226" s="310"/>
      <c r="Q226" s="392"/>
      <c r="R226" s="404" t="s">
        <v>174</v>
      </c>
    </row>
    <row r="227" spans="1:18" x14ac:dyDescent="0.35">
      <c r="A227" s="813"/>
      <c r="B227" s="747"/>
      <c r="C227" s="474">
        <v>197</v>
      </c>
      <c r="D227" s="28">
        <v>50.2</v>
      </c>
      <c r="E227" s="29">
        <f t="shared" si="10"/>
        <v>540.34778000000006</v>
      </c>
      <c r="F227" s="306"/>
      <c r="G227" s="306"/>
      <c r="H227" s="306"/>
      <c r="I227" s="306"/>
      <c r="J227" s="307" t="s">
        <v>9</v>
      </c>
      <c r="K227" s="308" t="s">
        <v>68</v>
      </c>
      <c r="L227" s="309" t="s">
        <v>9</v>
      </c>
      <c r="M227" s="306"/>
      <c r="N227" s="306"/>
      <c r="O227" s="306"/>
      <c r="P227" s="310"/>
      <c r="Q227" s="393"/>
      <c r="R227" s="404" t="s">
        <v>174</v>
      </c>
    </row>
    <row r="228" spans="1:18" x14ac:dyDescent="0.35">
      <c r="A228" s="813"/>
      <c r="B228" s="747"/>
      <c r="C228" s="474">
        <v>198</v>
      </c>
      <c r="D228" s="28">
        <v>53.6</v>
      </c>
      <c r="E228" s="29">
        <f t="shared" si="10"/>
        <v>576.94503999999995</v>
      </c>
      <c r="F228" s="306"/>
      <c r="G228" s="306"/>
      <c r="H228" s="306"/>
      <c r="I228" s="306"/>
      <c r="J228" s="307" t="s">
        <v>9</v>
      </c>
      <c r="K228" s="308" t="s">
        <v>69</v>
      </c>
      <c r="L228" s="309" t="s">
        <v>9</v>
      </c>
      <c r="M228" s="306"/>
      <c r="N228" s="306"/>
      <c r="O228" s="306"/>
      <c r="P228" s="310"/>
      <c r="Q228" s="391"/>
      <c r="R228" s="404" t="s">
        <v>174</v>
      </c>
    </row>
    <row r="229" spans="1:18" x14ac:dyDescent="0.35">
      <c r="A229" s="813"/>
      <c r="B229" s="747"/>
      <c r="C229" s="474">
        <v>199</v>
      </c>
      <c r="D229" s="28">
        <v>50.1</v>
      </c>
      <c r="E229" s="29">
        <f t="shared" si="10"/>
        <v>539.27139</v>
      </c>
      <c r="F229" s="306"/>
      <c r="G229" s="306"/>
      <c r="H229" s="306"/>
      <c r="I229" s="306"/>
      <c r="J229" s="307" t="s">
        <v>9</v>
      </c>
      <c r="K229" s="308" t="s">
        <v>68</v>
      </c>
      <c r="L229" s="309" t="s">
        <v>9</v>
      </c>
      <c r="M229" s="306"/>
      <c r="N229" s="306"/>
      <c r="O229" s="306"/>
      <c r="P229" s="310"/>
      <c r="Q229" s="391"/>
      <c r="R229" s="404" t="s">
        <v>174</v>
      </c>
    </row>
    <row r="230" spans="1:18" x14ac:dyDescent="0.35">
      <c r="A230" s="813"/>
      <c r="B230" s="747"/>
      <c r="C230" s="474">
        <v>200</v>
      </c>
      <c r="D230" s="28">
        <v>81</v>
      </c>
      <c r="E230" s="29">
        <f t="shared" si="10"/>
        <v>871.8759</v>
      </c>
      <c r="F230" s="306"/>
      <c r="G230" s="306"/>
      <c r="H230" s="306"/>
      <c r="I230" s="306" t="s">
        <v>9</v>
      </c>
      <c r="J230" s="307"/>
      <c r="K230" s="308" t="s">
        <v>68</v>
      </c>
      <c r="L230" s="309"/>
      <c r="M230" s="306" t="s">
        <v>9</v>
      </c>
      <c r="N230" s="306"/>
      <c r="O230" s="306"/>
      <c r="P230" s="310"/>
      <c r="Q230" s="394"/>
      <c r="R230" s="403" t="s">
        <v>176</v>
      </c>
    </row>
    <row r="231" spans="1:18" x14ac:dyDescent="0.35">
      <c r="A231" s="813"/>
      <c r="B231" s="747"/>
      <c r="C231" s="474">
        <v>201</v>
      </c>
      <c r="D231" s="28">
        <v>87.2</v>
      </c>
      <c r="E231" s="29">
        <f t="shared" si="10"/>
        <v>938.61207999999999</v>
      </c>
      <c r="F231" s="306"/>
      <c r="G231" s="306"/>
      <c r="H231" s="306"/>
      <c r="I231" s="306" t="s">
        <v>9</v>
      </c>
      <c r="J231" s="307"/>
      <c r="K231" s="308" t="s">
        <v>68</v>
      </c>
      <c r="L231" s="309"/>
      <c r="M231" s="306" t="s">
        <v>9</v>
      </c>
      <c r="N231" s="306"/>
      <c r="O231" s="306"/>
      <c r="P231" s="310"/>
      <c r="Q231" s="391"/>
      <c r="R231" s="403" t="s">
        <v>176</v>
      </c>
    </row>
    <row r="232" spans="1:18" x14ac:dyDescent="0.35">
      <c r="A232" s="813"/>
      <c r="B232" s="747"/>
      <c r="C232" s="474">
        <v>202</v>
      </c>
      <c r="D232" s="28">
        <v>81</v>
      </c>
      <c r="E232" s="29">
        <f t="shared" si="10"/>
        <v>871.8759</v>
      </c>
      <c r="F232" s="306"/>
      <c r="G232" s="306"/>
      <c r="H232" s="306"/>
      <c r="I232" s="306" t="s">
        <v>9</v>
      </c>
      <c r="J232" s="307"/>
      <c r="K232" s="308" t="s">
        <v>68</v>
      </c>
      <c r="L232" s="309"/>
      <c r="M232" s="306" t="s">
        <v>9</v>
      </c>
      <c r="N232" s="306"/>
      <c r="O232" s="306"/>
      <c r="P232" s="310"/>
      <c r="Q232" s="394"/>
      <c r="R232" s="403" t="s">
        <v>176</v>
      </c>
    </row>
    <row r="233" spans="1:18" x14ac:dyDescent="0.35">
      <c r="A233" s="813"/>
      <c r="B233" s="747"/>
      <c r="C233" s="474">
        <v>203</v>
      </c>
      <c r="D233" s="28">
        <v>81</v>
      </c>
      <c r="E233" s="29">
        <f t="shared" si="10"/>
        <v>871.8759</v>
      </c>
      <c r="F233" s="306"/>
      <c r="G233" s="306"/>
      <c r="H233" s="306"/>
      <c r="I233" s="306" t="s">
        <v>9</v>
      </c>
      <c r="J233" s="307"/>
      <c r="K233" s="308" t="s">
        <v>68</v>
      </c>
      <c r="L233" s="309"/>
      <c r="M233" s="306" t="s">
        <v>9</v>
      </c>
      <c r="N233" s="306"/>
      <c r="O233" s="306"/>
      <c r="P233" s="310"/>
      <c r="Q233" s="391"/>
      <c r="R233" s="403" t="s">
        <v>176</v>
      </c>
    </row>
    <row r="234" spans="1:18" x14ac:dyDescent="0.35">
      <c r="A234" s="813"/>
      <c r="B234" s="747"/>
      <c r="C234" s="474">
        <v>204</v>
      </c>
      <c r="D234" s="28">
        <v>81</v>
      </c>
      <c r="E234" s="29">
        <f t="shared" si="10"/>
        <v>871.8759</v>
      </c>
      <c r="F234" s="306"/>
      <c r="G234" s="306"/>
      <c r="H234" s="306"/>
      <c r="I234" s="306" t="s">
        <v>9</v>
      </c>
      <c r="J234" s="307"/>
      <c r="K234" s="308" t="s">
        <v>68</v>
      </c>
      <c r="L234" s="309"/>
      <c r="M234" s="306" t="s">
        <v>9</v>
      </c>
      <c r="N234" s="306"/>
      <c r="O234" s="306"/>
      <c r="P234" s="310"/>
      <c r="Q234" s="391"/>
      <c r="R234" s="403" t="s">
        <v>176</v>
      </c>
    </row>
    <row r="235" spans="1:18" x14ac:dyDescent="0.35">
      <c r="A235" s="813"/>
      <c r="B235" s="747"/>
      <c r="C235" s="474">
        <v>205</v>
      </c>
      <c r="D235" s="28">
        <v>49.9</v>
      </c>
      <c r="E235" s="29">
        <f t="shared" si="10"/>
        <v>537.11860999999999</v>
      </c>
      <c r="F235" s="306"/>
      <c r="G235" s="306"/>
      <c r="H235" s="306"/>
      <c r="I235" s="306"/>
      <c r="J235" s="307" t="s">
        <v>9</v>
      </c>
      <c r="K235" s="308" t="s">
        <v>68</v>
      </c>
      <c r="L235" s="309" t="s">
        <v>9</v>
      </c>
      <c r="M235" s="306"/>
      <c r="N235" s="306"/>
      <c r="O235" s="306"/>
      <c r="P235" s="310"/>
      <c r="Q235" s="393"/>
      <c r="R235" s="404" t="s">
        <v>174</v>
      </c>
    </row>
    <row r="236" spans="1:18" x14ac:dyDescent="0.35">
      <c r="A236" s="813"/>
      <c r="B236" s="747"/>
      <c r="C236" s="474">
        <v>206</v>
      </c>
      <c r="D236" s="28">
        <v>51.7</v>
      </c>
      <c r="E236" s="29">
        <f t="shared" si="10"/>
        <v>556.49363000000005</v>
      </c>
      <c r="F236" s="306"/>
      <c r="G236" s="306"/>
      <c r="H236" s="306"/>
      <c r="I236" s="306"/>
      <c r="J236" s="307" t="s">
        <v>9</v>
      </c>
      <c r="K236" s="308" t="s">
        <v>68</v>
      </c>
      <c r="L236" s="309" t="s">
        <v>9</v>
      </c>
      <c r="M236" s="306"/>
      <c r="N236" s="306"/>
      <c r="O236" s="306"/>
      <c r="P236" s="310"/>
      <c r="Q236" s="391"/>
      <c r="R236" s="404" t="s">
        <v>174</v>
      </c>
    </row>
    <row r="237" spans="1:18" x14ac:dyDescent="0.35">
      <c r="A237" s="813"/>
      <c r="B237" s="747"/>
      <c r="C237" s="474">
        <v>207</v>
      </c>
      <c r="D237" s="28">
        <v>50.2</v>
      </c>
      <c r="E237" s="29">
        <f t="shared" si="10"/>
        <v>540.34778000000006</v>
      </c>
      <c r="F237" s="306"/>
      <c r="G237" s="306"/>
      <c r="H237" s="306"/>
      <c r="I237" s="306"/>
      <c r="J237" s="307" t="s">
        <v>9</v>
      </c>
      <c r="K237" s="308" t="s">
        <v>68</v>
      </c>
      <c r="L237" s="309" t="s">
        <v>9</v>
      </c>
      <c r="M237" s="306"/>
      <c r="N237" s="306"/>
      <c r="O237" s="306"/>
      <c r="P237" s="310"/>
      <c r="Q237" s="392"/>
      <c r="R237" s="404" t="s">
        <v>174</v>
      </c>
    </row>
    <row r="238" spans="1:18" x14ac:dyDescent="0.35">
      <c r="A238" s="813"/>
      <c r="B238" s="747"/>
      <c r="C238" s="474">
        <v>208</v>
      </c>
      <c r="D238" s="28">
        <v>53.6</v>
      </c>
      <c r="E238" s="29">
        <f t="shared" si="10"/>
        <v>576.94503999999995</v>
      </c>
      <c r="F238" s="306"/>
      <c r="G238" s="306"/>
      <c r="H238" s="306"/>
      <c r="I238" s="306"/>
      <c r="J238" s="307" t="s">
        <v>9</v>
      </c>
      <c r="K238" s="308" t="s">
        <v>68</v>
      </c>
      <c r="L238" s="309" t="s">
        <v>9</v>
      </c>
      <c r="M238" s="306"/>
      <c r="N238" s="306"/>
      <c r="O238" s="306"/>
      <c r="P238" s="310"/>
      <c r="Q238" s="393"/>
      <c r="R238" s="404" t="s">
        <v>174</v>
      </c>
    </row>
    <row r="239" spans="1:18" x14ac:dyDescent="0.35">
      <c r="A239" s="813"/>
      <c r="B239" s="747"/>
      <c r="C239" s="474">
        <v>209</v>
      </c>
      <c r="D239" s="28">
        <v>50.1</v>
      </c>
      <c r="E239" s="29">
        <f t="shared" si="10"/>
        <v>539.27139</v>
      </c>
      <c r="F239" s="306"/>
      <c r="G239" s="306"/>
      <c r="H239" s="306"/>
      <c r="I239" s="306"/>
      <c r="J239" s="307" t="s">
        <v>9</v>
      </c>
      <c r="K239" s="308" t="s">
        <v>68</v>
      </c>
      <c r="L239" s="309" t="s">
        <v>9</v>
      </c>
      <c r="M239" s="306"/>
      <c r="N239" s="306"/>
      <c r="O239" s="306"/>
      <c r="P239" s="310"/>
      <c r="Q239" s="391"/>
      <c r="R239" s="404" t="s">
        <v>174</v>
      </c>
    </row>
    <row r="240" spans="1:18" x14ac:dyDescent="0.35">
      <c r="A240" s="813"/>
      <c r="B240" s="747"/>
      <c r="C240" s="474">
        <v>210</v>
      </c>
      <c r="D240" s="28">
        <v>49.9</v>
      </c>
      <c r="E240" s="29">
        <f t="shared" si="10"/>
        <v>537.11860999999999</v>
      </c>
      <c r="F240" s="306"/>
      <c r="G240" s="306"/>
      <c r="H240" s="306"/>
      <c r="I240" s="306"/>
      <c r="J240" s="307" t="s">
        <v>9</v>
      </c>
      <c r="K240" s="308" t="s">
        <v>68</v>
      </c>
      <c r="L240" s="309" t="s">
        <v>9</v>
      </c>
      <c r="M240" s="306"/>
      <c r="N240" s="306"/>
      <c r="O240" s="306"/>
      <c r="P240" s="310"/>
      <c r="Q240" s="391"/>
      <c r="R240" s="404" t="s">
        <v>174</v>
      </c>
    </row>
    <row r="241" spans="1:19" x14ac:dyDescent="0.35">
      <c r="A241" s="813"/>
      <c r="B241" s="747"/>
      <c r="C241" s="474">
        <v>211</v>
      </c>
      <c r="D241" s="28">
        <v>51.7</v>
      </c>
      <c r="E241" s="29">
        <f t="shared" si="10"/>
        <v>556.49363000000005</v>
      </c>
      <c r="F241" s="306"/>
      <c r="G241" s="306"/>
      <c r="H241" s="306"/>
      <c r="I241" s="306"/>
      <c r="J241" s="307" t="s">
        <v>9</v>
      </c>
      <c r="K241" s="308" t="s">
        <v>68</v>
      </c>
      <c r="L241" s="309" t="s">
        <v>9</v>
      </c>
      <c r="M241" s="306"/>
      <c r="N241" s="306"/>
      <c r="O241" s="306"/>
      <c r="P241" s="310"/>
      <c r="Q241" s="391"/>
      <c r="R241" s="404" t="s">
        <v>174</v>
      </c>
    </row>
    <row r="242" spans="1:19" x14ac:dyDescent="0.35">
      <c r="A242" s="813"/>
      <c r="B242" s="747"/>
      <c r="C242" s="474">
        <v>212</v>
      </c>
      <c r="D242" s="28">
        <v>50.2</v>
      </c>
      <c r="E242" s="29">
        <f t="shared" si="10"/>
        <v>540.34778000000006</v>
      </c>
      <c r="F242" s="306"/>
      <c r="G242" s="306"/>
      <c r="H242" s="306"/>
      <c r="I242" s="306"/>
      <c r="J242" s="307" t="s">
        <v>9</v>
      </c>
      <c r="K242" s="308" t="s">
        <v>68</v>
      </c>
      <c r="L242" s="309" t="s">
        <v>9</v>
      </c>
      <c r="M242" s="306"/>
      <c r="N242" s="306"/>
      <c r="O242" s="306"/>
      <c r="P242" s="310"/>
      <c r="Q242" s="391"/>
      <c r="R242" s="404" t="s">
        <v>174</v>
      </c>
    </row>
    <row r="243" spans="1:19" x14ac:dyDescent="0.35">
      <c r="A243" s="813"/>
      <c r="B243" s="747"/>
      <c r="C243" s="474" t="s">
        <v>120</v>
      </c>
      <c r="D243" s="28">
        <v>53.6</v>
      </c>
      <c r="E243" s="29">
        <f t="shared" si="10"/>
        <v>576.94503999999995</v>
      </c>
      <c r="F243" s="306"/>
      <c r="G243" s="306"/>
      <c r="H243" s="306"/>
      <c r="I243" s="306"/>
      <c r="J243" s="307" t="s">
        <v>9</v>
      </c>
      <c r="K243" s="308" t="s">
        <v>68</v>
      </c>
      <c r="L243" s="309" t="s">
        <v>9</v>
      </c>
      <c r="M243" s="306"/>
      <c r="N243" s="306"/>
      <c r="O243" s="306"/>
      <c r="P243" s="310"/>
      <c r="Q243" s="392"/>
      <c r="R243" s="404" t="s">
        <v>174</v>
      </c>
    </row>
    <row r="244" spans="1:19" x14ac:dyDescent="0.35">
      <c r="A244" s="813"/>
      <c r="B244" s="747"/>
      <c r="C244" s="474">
        <v>213</v>
      </c>
      <c r="D244" s="28">
        <v>49.9</v>
      </c>
      <c r="E244" s="29">
        <f t="shared" si="10"/>
        <v>537.11860999999999</v>
      </c>
      <c r="F244" s="306"/>
      <c r="G244" s="306"/>
      <c r="H244" s="306"/>
      <c r="I244" s="306"/>
      <c r="J244" s="307" t="s">
        <v>9</v>
      </c>
      <c r="K244" s="308" t="s">
        <v>68</v>
      </c>
      <c r="L244" s="309" t="s">
        <v>9</v>
      </c>
      <c r="M244" s="306"/>
      <c r="N244" s="306"/>
      <c r="O244" s="306"/>
      <c r="P244" s="310"/>
      <c r="Q244" s="393"/>
      <c r="R244" s="404" t="s">
        <v>174</v>
      </c>
    </row>
    <row r="245" spans="1:19" x14ac:dyDescent="0.35">
      <c r="A245" s="813"/>
      <c r="B245" s="747"/>
      <c r="C245" s="474">
        <v>214</v>
      </c>
      <c r="D245" s="28">
        <v>51.7</v>
      </c>
      <c r="E245" s="29">
        <f t="shared" si="10"/>
        <v>556.49363000000005</v>
      </c>
      <c r="F245" s="306"/>
      <c r="G245" s="306"/>
      <c r="H245" s="306"/>
      <c r="I245" s="306"/>
      <c r="J245" s="307" t="s">
        <v>9</v>
      </c>
      <c r="K245" s="308" t="s">
        <v>68</v>
      </c>
      <c r="L245" s="309" t="s">
        <v>9</v>
      </c>
      <c r="M245" s="306"/>
      <c r="N245" s="306"/>
      <c r="O245" s="306"/>
      <c r="P245" s="310"/>
      <c r="Q245" s="391"/>
      <c r="R245" s="404" t="s">
        <v>174</v>
      </c>
    </row>
    <row r="246" spans="1:19" x14ac:dyDescent="0.35">
      <c r="A246" s="813"/>
      <c r="B246" s="748"/>
      <c r="C246" s="474">
        <v>215</v>
      </c>
      <c r="D246" s="28">
        <v>50.2</v>
      </c>
      <c r="E246" s="29">
        <f t="shared" si="10"/>
        <v>540.34778000000006</v>
      </c>
      <c r="F246" s="306"/>
      <c r="G246" s="306"/>
      <c r="H246" s="306"/>
      <c r="I246" s="306"/>
      <c r="J246" s="307" t="s">
        <v>9</v>
      </c>
      <c r="K246" s="308" t="s">
        <v>68</v>
      </c>
      <c r="L246" s="309" t="s">
        <v>9</v>
      </c>
      <c r="M246" s="306"/>
      <c r="N246" s="306"/>
      <c r="O246" s="306"/>
      <c r="P246" s="310"/>
      <c r="Q246" s="391"/>
      <c r="R246" s="404" t="s">
        <v>174</v>
      </c>
    </row>
    <row r="247" spans="1:19" x14ac:dyDescent="0.35">
      <c r="A247" s="813"/>
      <c r="B247" s="750" t="s">
        <v>132</v>
      </c>
      <c r="C247" s="474">
        <v>216</v>
      </c>
      <c r="D247" s="28">
        <v>48.3</v>
      </c>
      <c r="E247" s="29">
        <f t="shared" si="10"/>
        <v>519.89636999999993</v>
      </c>
      <c r="F247" s="306"/>
      <c r="G247" s="306"/>
      <c r="H247" s="306"/>
      <c r="I247" s="306"/>
      <c r="J247" s="307" t="s">
        <v>9</v>
      </c>
      <c r="K247" s="308" t="s">
        <v>68</v>
      </c>
      <c r="L247" s="309" t="s">
        <v>9</v>
      </c>
      <c r="M247" s="306"/>
      <c r="N247" s="306"/>
      <c r="O247" s="306"/>
      <c r="P247" s="310"/>
      <c r="Q247" s="391"/>
      <c r="R247" s="404" t="s">
        <v>174</v>
      </c>
    </row>
    <row r="248" spans="1:19" ht="17.25" customHeight="1" x14ac:dyDescent="0.35">
      <c r="A248" s="813"/>
      <c r="B248" s="751"/>
      <c r="C248" s="474">
        <v>217</v>
      </c>
      <c r="D248" s="28">
        <v>56.2</v>
      </c>
      <c r="E248" s="29">
        <f t="shared" si="10"/>
        <v>604.93118000000004</v>
      </c>
      <c r="F248" s="306"/>
      <c r="G248" s="306"/>
      <c r="H248" s="306"/>
      <c r="I248" s="306"/>
      <c r="J248" s="307" t="s">
        <v>9</v>
      </c>
      <c r="K248" s="308" t="s">
        <v>69</v>
      </c>
      <c r="L248" s="309" t="s">
        <v>9</v>
      </c>
      <c r="M248" s="306"/>
      <c r="N248" s="306"/>
      <c r="O248" s="306"/>
      <c r="P248" s="310"/>
      <c r="Q248" s="391"/>
      <c r="R248" s="404" t="s">
        <v>174</v>
      </c>
    </row>
    <row r="249" spans="1:19" x14ac:dyDescent="0.35">
      <c r="A249" s="813"/>
      <c r="B249" s="751"/>
      <c r="C249" s="552">
        <v>218</v>
      </c>
      <c r="D249" s="28">
        <v>43.4</v>
      </c>
      <c r="E249" s="29">
        <f t="shared" si="10"/>
        <v>467.15325999999999</v>
      </c>
      <c r="F249" s="306"/>
      <c r="G249" s="306"/>
      <c r="H249" s="306"/>
      <c r="I249" s="306"/>
      <c r="J249" s="307" t="s">
        <v>9</v>
      </c>
      <c r="K249" s="308" t="s">
        <v>68</v>
      </c>
      <c r="L249" s="309" t="s">
        <v>9</v>
      </c>
      <c r="M249" s="306"/>
      <c r="N249" s="306"/>
      <c r="O249" s="306"/>
      <c r="P249" s="310"/>
      <c r="Q249" s="392"/>
      <c r="R249" s="404" t="s">
        <v>174</v>
      </c>
      <c r="S249" s="2" t="s">
        <v>9</v>
      </c>
    </row>
    <row r="250" spans="1:19" x14ac:dyDescent="0.35">
      <c r="A250" s="813"/>
      <c r="B250" s="751"/>
      <c r="C250" s="552">
        <v>219</v>
      </c>
      <c r="D250" s="28">
        <v>43.4</v>
      </c>
      <c r="E250" s="29">
        <f t="shared" si="10"/>
        <v>467.15325999999999</v>
      </c>
      <c r="F250" s="306"/>
      <c r="G250" s="306"/>
      <c r="H250" s="306"/>
      <c r="I250" s="306"/>
      <c r="J250" s="307" t="s">
        <v>9</v>
      </c>
      <c r="K250" s="308" t="s">
        <v>69</v>
      </c>
      <c r="L250" s="309" t="s">
        <v>9</v>
      </c>
      <c r="M250" s="306"/>
      <c r="N250" s="306"/>
      <c r="O250" s="306"/>
      <c r="P250" s="310"/>
      <c r="Q250" s="393"/>
      <c r="R250" s="404" t="s">
        <v>174</v>
      </c>
      <c r="S250" s="2" t="s">
        <v>9</v>
      </c>
    </row>
    <row r="251" spans="1:19" x14ac:dyDescent="0.35">
      <c r="A251" s="813"/>
      <c r="B251" s="751"/>
      <c r="C251" s="552">
        <v>220</v>
      </c>
      <c r="D251" s="28">
        <v>43.4</v>
      </c>
      <c r="E251" s="29">
        <f t="shared" si="10"/>
        <v>467.15325999999999</v>
      </c>
      <c r="F251" s="306"/>
      <c r="G251" s="306"/>
      <c r="H251" s="306"/>
      <c r="I251" s="306"/>
      <c r="J251" s="307" t="s">
        <v>9</v>
      </c>
      <c r="K251" s="308" t="s">
        <v>68</v>
      </c>
      <c r="L251" s="309" t="s">
        <v>9</v>
      </c>
      <c r="M251" s="306"/>
      <c r="N251" s="306"/>
      <c r="O251" s="306"/>
      <c r="P251" s="310"/>
      <c r="Q251" s="391"/>
      <c r="R251" s="404" t="s">
        <v>174</v>
      </c>
      <c r="S251" s="2" t="s">
        <v>9</v>
      </c>
    </row>
    <row r="252" spans="1:19" x14ac:dyDescent="0.35">
      <c r="A252" s="813"/>
      <c r="B252" s="751"/>
      <c r="C252" s="552">
        <v>221</v>
      </c>
      <c r="D252" s="28">
        <v>43.4</v>
      </c>
      <c r="E252" s="29">
        <f t="shared" si="10"/>
        <v>467.15325999999999</v>
      </c>
      <c r="F252" s="306"/>
      <c r="G252" s="306"/>
      <c r="H252" s="306"/>
      <c r="I252" s="306"/>
      <c r="J252" s="307" t="s">
        <v>9</v>
      </c>
      <c r="K252" s="308" t="s">
        <v>69</v>
      </c>
      <c r="L252" s="309" t="s">
        <v>9</v>
      </c>
      <c r="M252" s="306"/>
      <c r="N252" s="306"/>
      <c r="O252" s="306"/>
      <c r="P252" s="310"/>
      <c r="Q252" s="391"/>
      <c r="R252" s="404" t="s">
        <v>174</v>
      </c>
      <c r="S252" s="2" t="s">
        <v>9</v>
      </c>
    </row>
    <row r="253" spans="1:19" x14ac:dyDescent="0.35">
      <c r="A253" s="813"/>
      <c r="B253" s="751"/>
      <c r="C253" s="552">
        <v>222</v>
      </c>
      <c r="D253" s="28">
        <v>43.4</v>
      </c>
      <c r="E253" s="29">
        <f t="shared" si="10"/>
        <v>467.15325999999999</v>
      </c>
      <c r="F253" s="306"/>
      <c r="G253" s="306"/>
      <c r="H253" s="306"/>
      <c r="I253" s="306"/>
      <c r="J253" s="307" t="s">
        <v>9</v>
      </c>
      <c r="K253" s="308" t="s">
        <v>68</v>
      </c>
      <c r="L253" s="309" t="s">
        <v>9</v>
      </c>
      <c r="M253" s="306"/>
      <c r="N253" s="306"/>
      <c r="O253" s="306"/>
      <c r="P253" s="310"/>
      <c r="Q253" s="391"/>
      <c r="R253" s="404" t="s">
        <v>174</v>
      </c>
      <c r="S253" s="2" t="s">
        <v>9</v>
      </c>
    </row>
    <row r="254" spans="1:19" x14ac:dyDescent="0.35">
      <c r="A254" s="813"/>
      <c r="B254" s="751"/>
      <c r="C254" s="552">
        <v>223</v>
      </c>
      <c r="D254" s="28">
        <v>43.4</v>
      </c>
      <c r="E254" s="29">
        <f t="shared" si="10"/>
        <v>467.15325999999999</v>
      </c>
      <c r="F254" s="306"/>
      <c r="G254" s="306"/>
      <c r="H254" s="306"/>
      <c r="I254" s="306"/>
      <c r="J254" s="307" t="s">
        <v>9</v>
      </c>
      <c r="K254" s="308" t="s">
        <v>69</v>
      </c>
      <c r="L254" s="309" t="s">
        <v>9</v>
      </c>
      <c r="M254" s="306"/>
      <c r="N254" s="306"/>
      <c r="O254" s="306"/>
      <c r="P254" s="310"/>
      <c r="Q254" s="391"/>
      <c r="R254" s="404" t="s">
        <v>174</v>
      </c>
      <c r="S254" s="2" t="s">
        <v>9</v>
      </c>
    </row>
    <row r="255" spans="1:19" x14ac:dyDescent="0.35">
      <c r="A255" s="813"/>
      <c r="B255" s="751"/>
      <c r="C255" s="552">
        <v>224</v>
      </c>
      <c r="D255" s="28">
        <v>43.4</v>
      </c>
      <c r="E255" s="29">
        <f t="shared" si="10"/>
        <v>467.15325999999999</v>
      </c>
      <c r="F255" s="306"/>
      <c r="G255" s="306"/>
      <c r="H255" s="306"/>
      <c r="I255" s="306"/>
      <c r="J255" s="307" t="s">
        <v>9</v>
      </c>
      <c r="K255" s="308" t="s">
        <v>68</v>
      </c>
      <c r="L255" s="309" t="s">
        <v>9</v>
      </c>
      <c r="M255" s="306"/>
      <c r="N255" s="306"/>
      <c r="O255" s="306"/>
      <c r="P255" s="310"/>
      <c r="Q255" s="391"/>
      <c r="R255" s="404" t="s">
        <v>174</v>
      </c>
      <c r="S255" s="2" t="s">
        <v>9</v>
      </c>
    </row>
    <row r="256" spans="1:19" x14ac:dyDescent="0.35">
      <c r="A256" s="813"/>
      <c r="B256" s="751"/>
      <c r="C256" s="474">
        <v>225</v>
      </c>
      <c r="D256" s="28">
        <v>51.2</v>
      </c>
      <c r="E256" s="29">
        <f t="shared" si="10"/>
        <v>551.11167999999998</v>
      </c>
      <c r="F256" s="306"/>
      <c r="G256" s="306"/>
      <c r="H256" s="306"/>
      <c r="I256" s="306"/>
      <c r="J256" s="307" t="s">
        <v>9</v>
      </c>
      <c r="K256" s="308" t="s">
        <v>69</v>
      </c>
      <c r="L256" s="309" t="s">
        <v>9</v>
      </c>
      <c r="M256" s="306"/>
      <c r="N256" s="306"/>
      <c r="O256" s="306"/>
      <c r="P256" s="310"/>
      <c r="Q256" s="391"/>
      <c r="R256" s="404" t="s">
        <v>174</v>
      </c>
    </row>
    <row r="257" spans="1:19" x14ac:dyDescent="0.35">
      <c r="A257" s="813"/>
      <c r="B257" s="751"/>
      <c r="C257" s="552">
        <v>226</v>
      </c>
      <c r="D257" s="28">
        <v>43.4</v>
      </c>
      <c r="E257" s="29">
        <f t="shared" si="10"/>
        <v>467.15325999999999</v>
      </c>
      <c r="F257" s="306"/>
      <c r="G257" s="306"/>
      <c r="H257" s="306"/>
      <c r="I257" s="306"/>
      <c r="J257" s="307" t="s">
        <v>9</v>
      </c>
      <c r="K257" s="308" t="s">
        <v>68</v>
      </c>
      <c r="L257" s="309" t="s">
        <v>9</v>
      </c>
      <c r="M257" s="306"/>
      <c r="N257" s="306"/>
      <c r="O257" s="306"/>
      <c r="P257" s="310"/>
      <c r="Q257" s="391"/>
      <c r="R257" s="404" t="s">
        <v>174</v>
      </c>
      <c r="S257" s="2" t="s">
        <v>9</v>
      </c>
    </row>
    <row r="258" spans="1:19" x14ac:dyDescent="0.35">
      <c r="A258" s="813"/>
      <c r="B258" s="751"/>
      <c r="C258" s="552">
        <v>227</v>
      </c>
      <c r="D258" s="28">
        <v>43.4</v>
      </c>
      <c r="E258" s="29">
        <f t="shared" si="10"/>
        <v>467.15325999999999</v>
      </c>
      <c r="F258" s="306"/>
      <c r="G258" s="306"/>
      <c r="H258" s="306"/>
      <c r="I258" s="306"/>
      <c r="J258" s="307" t="s">
        <v>9</v>
      </c>
      <c r="K258" s="308" t="s">
        <v>68</v>
      </c>
      <c r="L258" s="309" t="s">
        <v>9</v>
      </c>
      <c r="M258" s="306"/>
      <c r="N258" s="306"/>
      <c r="O258" s="306"/>
      <c r="P258" s="310"/>
      <c r="Q258" s="391"/>
      <c r="R258" s="404" t="s">
        <v>174</v>
      </c>
      <c r="S258" s="2" t="s">
        <v>9</v>
      </c>
    </row>
    <row r="259" spans="1:19" x14ac:dyDescent="0.35">
      <c r="A259" s="813"/>
      <c r="B259" s="751"/>
      <c r="C259" s="474">
        <v>228</v>
      </c>
      <c r="D259" s="28">
        <v>57.8</v>
      </c>
      <c r="E259" s="29">
        <f t="shared" si="10"/>
        <v>622.15341999999998</v>
      </c>
      <c r="F259" s="306"/>
      <c r="G259" s="306"/>
      <c r="H259" s="306"/>
      <c r="I259" s="306"/>
      <c r="J259" s="307" t="s">
        <v>9</v>
      </c>
      <c r="K259" s="308" t="s">
        <v>69</v>
      </c>
      <c r="L259" s="309" t="s">
        <v>9</v>
      </c>
      <c r="M259" s="306"/>
      <c r="N259" s="306"/>
      <c r="O259" s="306"/>
      <c r="P259" s="310"/>
      <c r="Q259" s="391"/>
      <c r="R259" s="404" t="s">
        <v>174</v>
      </c>
    </row>
    <row r="260" spans="1:19" x14ac:dyDescent="0.35">
      <c r="A260" s="813"/>
      <c r="B260" s="751"/>
      <c r="C260" s="474">
        <v>229</v>
      </c>
      <c r="D260" s="28">
        <v>56.2</v>
      </c>
      <c r="E260" s="29">
        <f t="shared" si="10"/>
        <v>604.93118000000004</v>
      </c>
      <c r="F260" s="306"/>
      <c r="G260" s="306"/>
      <c r="H260" s="306"/>
      <c r="I260" s="306"/>
      <c r="J260" s="307" t="s">
        <v>9</v>
      </c>
      <c r="K260" s="308" t="s">
        <v>68</v>
      </c>
      <c r="L260" s="309" t="s">
        <v>9</v>
      </c>
      <c r="M260" s="306"/>
      <c r="N260" s="306"/>
      <c r="O260" s="306"/>
      <c r="P260" s="310"/>
      <c r="Q260" s="391"/>
      <c r="R260" s="404" t="s">
        <v>174</v>
      </c>
    </row>
    <row r="261" spans="1:19" x14ac:dyDescent="0.35">
      <c r="A261" s="813"/>
      <c r="B261" s="751"/>
      <c r="C261" s="552">
        <v>230</v>
      </c>
      <c r="D261" s="28">
        <v>43.4</v>
      </c>
      <c r="E261" s="29">
        <f t="shared" si="10"/>
        <v>467.15325999999999</v>
      </c>
      <c r="F261" s="306"/>
      <c r="G261" s="306"/>
      <c r="H261" s="306"/>
      <c r="I261" s="306"/>
      <c r="J261" s="307" t="s">
        <v>9</v>
      </c>
      <c r="K261" s="308" t="s">
        <v>68</v>
      </c>
      <c r="L261" s="309" t="s">
        <v>9</v>
      </c>
      <c r="M261" s="306"/>
      <c r="N261" s="306"/>
      <c r="O261" s="306"/>
      <c r="P261" s="310"/>
      <c r="Q261" s="391"/>
      <c r="R261" s="404" t="s">
        <v>174</v>
      </c>
      <c r="S261" s="2" t="s">
        <v>9</v>
      </c>
    </row>
    <row r="262" spans="1:19" x14ac:dyDescent="0.35">
      <c r="A262" s="813"/>
      <c r="B262" s="751"/>
      <c r="C262" s="552">
        <v>231</v>
      </c>
      <c r="D262" s="28">
        <v>43.4</v>
      </c>
      <c r="E262" s="29">
        <f t="shared" si="10"/>
        <v>467.15325999999999</v>
      </c>
      <c r="F262" s="306"/>
      <c r="G262" s="306"/>
      <c r="H262" s="306"/>
      <c r="I262" s="306"/>
      <c r="J262" s="307" t="s">
        <v>9</v>
      </c>
      <c r="K262" s="308" t="s">
        <v>69</v>
      </c>
      <c r="L262" s="309" t="s">
        <v>9</v>
      </c>
      <c r="M262" s="306"/>
      <c r="N262" s="306"/>
      <c r="O262" s="306"/>
      <c r="P262" s="310"/>
      <c r="Q262" s="392"/>
      <c r="R262" s="404" t="s">
        <v>174</v>
      </c>
      <c r="S262" s="2" t="s">
        <v>9</v>
      </c>
    </row>
    <row r="263" spans="1:19" x14ac:dyDescent="0.35">
      <c r="A263" s="813"/>
      <c r="B263" s="751"/>
      <c r="C263" s="552">
        <v>232</v>
      </c>
      <c r="D263" s="28">
        <v>43.4</v>
      </c>
      <c r="E263" s="29">
        <f t="shared" si="10"/>
        <v>467.15325999999999</v>
      </c>
      <c r="F263" s="306"/>
      <c r="G263" s="306"/>
      <c r="H263" s="306"/>
      <c r="I263" s="306"/>
      <c r="J263" s="307" t="s">
        <v>9</v>
      </c>
      <c r="K263" s="308" t="s">
        <v>68</v>
      </c>
      <c r="L263" s="309" t="s">
        <v>9</v>
      </c>
      <c r="M263" s="306"/>
      <c r="N263" s="306"/>
      <c r="O263" s="306"/>
      <c r="P263" s="310"/>
      <c r="Q263" s="393"/>
      <c r="R263" s="404" t="s">
        <v>174</v>
      </c>
      <c r="S263" s="2" t="s">
        <v>9</v>
      </c>
    </row>
    <row r="264" spans="1:19" x14ac:dyDescent="0.35">
      <c r="A264" s="813"/>
      <c r="B264" s="751"/>
      <c r="C264" s="552">
        <v>233</v>
      </c>
      <c r="D264" s="28">
        <v>43.4</v>
      </c>
      <c r="E264" s="29">
        <f t="shared" si="10"/>
        <v>467.15325999999999</v>
      </c>
      <c r="F264" s="306"/>
      <c r="G264" s="306"/>
      <c r="H264" s="306"/>
      <c r="I264" s="306"/>
      <c r="J264" s="307" t="s">
        <v>9</v>
      </c>
      <c r="K264" s="308" t="s">
        <v>69</v>
      </c>
      <c r="L264" s="309" t="s">
        <v>9</v>
      </c>
      <c r="M264" s="306"/>
      <c r="N264" s="306"/>
      <c r="O264" s="306"/>
      <c r="P264" s="310"/>
      <c r="Q264" s="391"/>
      <c r="R264" s="404" t="s">
        <v>174</v>
      </c>
      <c r="S264" s="2" t="s">
        <v>9</v>
      </c>
    </row>
    <row r="265" spans="1:19" x14ac:dyDescent="0.35">
      <c r="A265" s="813"/>
      <c r="B265" s="751"/>
      <c r="C265" s="552">
        <v>234</v>
      </c>
      <c r="D265" s="28">
        <v>43.4</v>
      </c>
      <c r="E265" s="29">
        <f t="shared" si="10"/>
        <v>467.15325999999999</v>
      </c>
      <c r="F265" s="306"/>
      <c r="G265" s="306"/>
      <c r="H265" s="306"/>
      <c r="I265" s="306"/>
      <c r="J265" s="307" t="s">
        <v>9</v>
      </c>
      <c r="K265" s="308" t="s">
        <v>68</v>
      </c>
      <c r="L265" s="309" t="s">
        <v>9</v>
      </c>
      <c r="M265" s="306"/>
      <c r="N265" s="306"/>
      <c r="O265" s="306"/>
      <c r="P265" s="310"/>
      <c r="Q265" s="393"/>
      <c r="R265" s="404" t="s">
        <v>174</v>
      </c>
      <c r="S265" s="2" t="s">
        <v>9</v>
      </c>
    </row>
    <row r="266" spans="1:19" x14ac:dyDescent="0.35">
      <c r="A266" s="813"/>
      <c r="B266" s="751"/>
      <c r="C266" s="552">
        <v>235</v>
      </c>
      <c r="D266" s="28">
        <v>43.4</v>
      </c>
      <c r="E266" s="29">
        <f t="shared" si="10"/>
        <v>467.15325999999999</v>
      </c>
      <c r="F266" s="306"/>
      <c r="G266" s="306"/>
      <c r="H266" s="306"/>
      <c r="I266" s="306"/>
      <c r="J266" s="307" t="s">
        <v>9</v>
      </c>
      <c r="K266" s="308" t="s">
        <v>69</v>
      </c>
      <c r="L266" s="309" t="s">
        <v>9</v>
      </c>
      <c r="M266" s="306"/>
      <c r="N266" s="306"/>
      <c r="O266" s="306"/>
      <c r="P266" s="310"/>
      <c r="Q266" s="391"/>
      <c r="R266" s="404" t="s">
        <v>174</v>
      </c>
      <c r="S266" s="2" t="s">
        <v>9</v>
      </c>
    </row>
    <row r="267" spans="1:19" x14ac:dyDescent="0.35">
      <c r="A267" s="813"/>
      <c r="B267" s="751"/>
      <c r="C267" s="552">
        <v>236</v>
      </c>
      <c r="D267" s="28">
        <v>43.4</v>
      </c>
      <c r="E267" s="29">
        <f t="shared" si="10"/>
        <v>467.15325999999999</v>
      </c>
      <c r="F267" s="306"/>
      <c r="G267" s="306"/>
      <c r="H267" s="306"/>
      <c r="I267" s="306"/>
      <c r="J267" s="307" t="s">
        <v>9</v>
      </c>
      <c r="K267" s="308" t="s">
        <v>68</v>
      </c>
      <c r="L267" s="309" t="s">
        <v>9</v>
      </c>
      <c r="M267" s="306"/>
      <c r="N267" s="306"/>
      <c r="O267" s="306"/>
      <c r="P267" s="310"/>
      <c r="Q267" s="393"/>
      <c r="R267" s="404" t="s">
        <v>174</v>
      </c>
      <c r="S267" s="2" t="s">
        <v>9</v>
      </c>
    </row>
    <row r="268" spans="1:19" x14ac:dyDescent="0.35">
      <c r="A268" s="813"/>
      <c r="B268" s="751"/>
      <c r="C268" s="474">
        <v>237</v>
      </c>
      <c r="D268" s="28">
        <v>51.2</v>
      </c>
      <c r="E268" s="29">
        <f t="shared" si="10"/>
        <v>551.11167999999998</v>
      </c>
      <c r="F268" s="306"/>
      <c r="G268" s="306"/>
      <c r="H268" s="306"/>
      <c r="I268" s="306"/>
      <c r="J268" s="307" t="s">
        <v>9</v>
      </c>
      <c r="K268" s="308" t="s">
        <v>69</v>
      </c>
      <c r="L268" s="309" t="s">
        <v>9</v>
      </c>
      <c r="M268" s="306"/>
      <c r="N268" s="306"/>
      <c r="O268" s="306"/>
      <c r="P268" s="310"/>
      <c r="Q268" s="391"/>
      <c r="R268" s="404" t="s">
        <v>174</v>
      </c>
    </row>
    <row r="269" spans="1:19" x14ac:dyDescent="0.35">
      <c r="A269" s="813"/>
      <c r="B269" s="751"/>
      <c r="C269" s="552">
        <v>238</v>
      </c>
      <c r="D269" s="28">
        <v>43.4</v>
      </c>
      <c r="E269" s="29">
        <f t="shared" si="10"/>
        <v>467.15325999999999</v>
      </c>
      <c r="F269" s="306"/>
      <c r="G269" s="306"/>
      <c r="H269" s="306"/>
      <c r="I269" s="306"/>
      <c r="J269" s="307" t="s">
        <v>9</v>
      </c>
      <c r="K269" s="308" t="s">
        <v>68</v>
      </c>
      <c r="L269" s="309" t="s">
        <v>9</v>
      </c>
      <c r="M269" s="306"/>
      <c r="N269" s="306"/>
      <c r="O269" s="306"/>
      <c r="P269" s="310"/>
      <c r="Q269" s="391"/>
      <c r="R269" s="404" t="s">
        <v>174</v>
      </c>
      <c r="S269" s="2" t="s">
        <v>9</v>
      </c>
    </row>
    <row r="270" spans="1:19" x14ac:dyDescent="0.35">
      <c r="A270" s="813"/>
      <c r="B270" s="751"/>
      <c r="C270" s="552">
        <v>239</v>
      </c>
      <c r="D270" s="28">
        <v>43.4</v>
      </c>
      <c r="E270" s="29">
        <f t="shared" si="10"/>
        <v>467.15325999999999</v>
      </c>
      <c r="F270" s="306"/>
      <c r="G270" s="306"/>
      <c r="H270" s="306"/>
      <c r="I270" s="306"/>
      <c r="J270" s="307" t="s">
        <v>9</v>
      </c>
      <c r="K270" s="308" t="s">
        <v>68</v>
      </c>
      <c r="L270" s="309" t="s">
        <v>9</v>
      </c>
      <c r="M270" s="306"/>
      <c r="N270" s="306"/>
      <c r="O270" s="306"/>
      <c r="P270" s="310"/>
      <c r="Q270" s="391"/>
      <c r="R270" s="404" t="s">
        <v>174</v>
      </c>
      <c r="S270" s="2" t="s">
        <v>9</v>
      </c>
    </row>
    <row r="271" spans="1:19" x14ac:dyDescent="0.35">
      <c r="A271" s="813"/>
      <c r="B271" s="751"/>
      <c r="C271" s="474">
        <v>240</v>
      </c>
      <c r="D271" s="28">
        <v>57.8</v>
      </c>
      <c r="E271" s="29">
        <f t="shared" si="10"/>
        <v>622.15341999999998</v>
      </c>
      <c r="F271" s="306"/>
      <c r="G271" s="306"/>
      <c r="H271" s="306"/>
      <c r="I271" s="306"/>
      <c r="J271" s="307" t="s">
        <v>9</v>
      </c>
      <c r="K271" s="308" t="s">
        <v>69</v>
      </c>
      <c r="L271" s="309" t="s">
        <v>9</v>
      </c>
      <c r="M271" s="306"/>
      <c r="N271" s="306"/>
      <c r="O271" s="306"/>
      <c r="P271" s="310"/>
      <c r="Q271" s="393"/>
      <c r="R271" s="404" t="s">
        <v>174</v>
      </c>
    </row>
    <row r="272" spans="1:19" x14ac:dyDescent="0.35">
      <c r="A272" s="813"/>
      <c r="B272" s="751"/>
      <c r="C272" s="474">
        <v>241</v>
      </c>
      <c r="D272" s="28">
        <v>53.3</v>
      </c>
      <c r="E272" s="29">
        <f t="shared" si="10"/>
        <v>573.71587</v>
      </c>
      <c r="F272" s="306"/>
      <c r="G272" s="306"/>
      <c r="H272" s="306"/>
      <c r="I272" s="306"/>
      <c r="J272" s="307" t="s">
        <v>9</v>
      </c>
      <c r="K272" s="308" t="s">
        <v>68</v>
      </c>
      <c r="L272" s="309" t="s">
        <v>9</v>
      </c>
      <c r="M272" s="306"/>
      <c r="N272" s="306"/>
      <c r="O272" s="306"/>
      <c r="P272" s="310"/>
      <c r="Q272" s="391"/>
      <c r="R272" s="404" t="s">
        <v>174</v>
      </c>
    </row>
    <row r="273" spans="1:19" x14ac:dyDescent="0.35">
      <c r="A273" s="813"/>
      <c r="B273" s="751"/>
      <c r="C273" s="552">
        <v>242</v>
      </c>
      <c r="D273" s="28">
        <v>43.4</v>
      </c>
      <c r="E273" s="29">
        <f t="shared" ref="E273:E339" si="11">SUM(D273*10.7639)</f>
        <v>467.15325999999999</v>
      </c>
      <c r="F273" s="306"/>
      <c r="G273" s="306"/>
      <c r="H273" s="306"/>
      <c r="I273" s="306"/>
      <c r="J273" s="307" t="s">
        <v>9</v>
      </c>
      <c r="K273" s="308" t="s">
        <v>68</v>
      </c>
      <c r="L273" s="309" t="s">
        <v>9</v>
      </c>
      <c r="M273" s="306"/>
      <c r="N273" s="306"/>
      <c r="O273" s="306"/>
      <c r="P273" s="310"/>
      <c r="Q273" s="391"/>
      <c r="R273" s="404" t="s">
        <v>174</v>
      </c>
      <c r="S273" s="2" t="s">
        <v>9</v>
      </c>
    </row>
    <row r="274" spans="1:19" x14ac:dyDescent="0.35">
      <c r="A274" s="813"/>
      <c r="B274" s="751"/>
      <c r="C274" s="552">
        <v>243</v>
      </c>
      <c r="D274" s="28">
        <v>43.4</v>
      </c>
      <c r="E274" s="29">
        <f t="shared" si="11"/>
        <v>467.15325999999999</v>
      </c>
      <c r="F274" s="306"/>
      <c r="G274" s="306"/>
      <c r="H274" s="306"/>
      <c r="I274" s="306"/>
      <c r="J274" s="307" t="s">
        <v>9</v>
      </c>
      <c r="K274" s="308" t="s">
        <v>69</v>
      </c>
      <c r="L274" s="309" t="s">
        <v>9</v>
      </c>
      <c r="M274" s="306"/>
      <c r="N274" s="306"/>
      <c r="O274" s="306"/>
      <c r="P274" s="310"/>
      <c r="Q274" s="391"/>
      <c r="R274" s="404" t="s">
        <v>174</v>
      </c>
      <c r="S274" s="2" t="s">
        <v>9</v>
      </c>
    </row>
    <row r="275" spans="1:19" x14ac:dyDescent="0.35">
      <c r="A275" s="813"/>
      <c r="B275" s="751"/>
      <c r="C275" s="552">
        <v>244</v>
      </c>
      <c r="D275" s="28">
        <v>43.4</v>
      </c>
      <c r="E275" s="29">
        <f t="shared" si="11"/>
        <v>467.15325999999999</v>
      </c>
      <c r="F275" s="306"/>
      <c r="G275" s="306"/>
      <c r="H275" s="306"/>
      <c r="I275" s="306"/>
      <c r="J275" s="307" t="s">
        <v>9</v>
      </c>
      <c r="K275" s="308" t="s">
        <v>68</v>
      </c>
      <c r="L275" s="309" t="s">
        <v>9</v>
      </c>
      <c r="M275" s="306"/>
      <c r="N275" s="306"/>
      <c r="O275" s="306"/>
      <c r="P275" s="310"/>
      <c r="Q275" s="392"/>
      <c r="R275" s="404" t="s">
        <v>174</v>
      </c>
      <c r="S275" s="2" t="s">
        <v>9</v>
      </c>
    </row>
    <row r="276" spans="1:19" x14ac:dyDescent="0.35">
      <c r="A276" s="813"/>
      <c r="B276" s="751"/>
      <c r="C276" s="552">
        <v>245</v>
      </c>
      <c r="D276" s="28">
        <v>43.4</v>
      </c>
      <c r="E276" s="29">
        <f t="shared" si="11"/>
        <v>467.15325999999999</v>
      </c>
      <c r="F276" s="306"/>
      <c r="G276" s="306"/>
      <c r="H276" s="306"/>
      <c r="I276" s="306"/>
      <c r="J276" s="307" t="s">
        <v>9</v>
      </c>
      <c r="K276" s="308" t="s">
        <v>69</v>
      </c>
      <c r="L276" s="309" t="s">
        <v>9</v>
      </c>
      <c r="M276" s="306"/>
      <c r="N276" s="306"/>
      <c r="O276" s="306"/>
      <c r="P276" s="310"/>
      <c r="Q276" s="393"/>
      <c r="R276" s="404" t="s">
        <v>174</v>
      </c>
      <c r="S276" s="2" t="s">
        <v>9</v>
      </c>
    </row>
    <row r="277" spans="1:19" x14ac:dyDescent="0.35">
      <c r="A277" s="813"/>
      <c r="B277" s="751"/>
      <c r="C277" s="552">
        <v>246</v>
      </c>
      <c r="D277" s="28">
        <v>43.4</v>
      </c>
      <c r="E277" s="29">
        <f t="shared" si="11"/>
        <v>467.15325999999999</v>
      </c>
      <c r="F277" s="306"/>
      <c r="G277" s="306"/>
      <c r="H277" s="306"/>
      <c r="I277" s="306"/>
      <c r="J277" s="307" t="s">
        <v>9</v>
      </c>
      <c r="K277" s="308" t="s">
        <v>68</v>
      </c>
      <c r="L277" s="309" t="s">
        <v>9</v>
      </c>
      <c r="M277" s="306"/>
      <c r="N277" s="306"/>
      <c r="O277" s="306"/>
      <c r="P277" s="310"/>
      <c r="Q277" s="391"/>
      <c r="R277" s="404" t="s">
        <v>174</v>
      </c>
      <c r="S277" s="2" t="s">
        <v>9</v>
      </c>
    </row>
    <row r="278" spans="1:19" x14ac:dyDescent="0.35">
      <c r="A278" s="813"/>
      <c r="B278" s="751"/>
      <c r="C278" s="552">
        <v>247</v>
      </c>
      <c r="D278" s="28">
        <v>43.4</v>
      </c>
      <c r="E278" s="29">
        <f t="shared" si="11"/>
        <v>467.15325999999999</v>
      </c>
      <c r="F278" s="306"/>
      <c r="G278" s="306"/>
      <c r="H278" s="306"/>
      <c r="I278" s="306"/>
      <c r="J278" s="307" t="s">
        <v>9</v>
      </c>
      <c r="K278" s="308" t="s">
        <v>69</v>
      </c>
      <c r="L278" s="309" t="s">
        <v>9</v>
      </c>
      <c r="M278" s="306"/>
      <c r="N278" s="306"/>
      <c r="O278" s="306"/>
      <c r="P278" s="310"/>
      <c r="Q278" s="391"/>
      <c r="R278" s="404" t="s">
        <v>174</v>
      </c>
      <c r="S278" s="2" t="s">
        <v>9</v>
      </c>
    </row>
    <row r="279" spans="1:19" x14ac:dyDescent="0.35">
      <c r="A279" s="813"/>
      <c r="B279" s="751"/>
      <c r="C279" s="552">
        <v>248</v>
      </c>
      <c r="D279" s="28">
        <v>43.4</v>
      </c>
      <c r="E279" s="29">
        <f t="shared" si="11"/>
        <v>467.15325999999999</v>
      </c>
      <c r="F279" s="306"/>
      <c r="G279" s="306"/>
      <c r="H279" s="306"/>
      <c r="I279" s="306"/>
      <c r="J279" s="307" t="s">
        <v>9</v>
      </c>
      <c r="K279" s="308" t="s">
        <v>68</v>
      </c>
      <c r="L279" s="309" t="s">
        <v>9</v>
      </c>
      <c r="M279" s="306"/>
      <c r="N279" s="306"/>
      <c r="O279" s="306"/>
      <c r="P279" s="310"/>
      <c r="Q279" s="391"/>
      <c r="R279" s="404" t="s">
        <v>174</v>
      </c>
      <c r="S279" s="2" t="s">
        <v>9</v>
      </c>
    </row>
    <row r="280" spans="1:19" x14ac:dyDescent="0.35">
      <c r="A280" s="813"/>
      <c r="B280" s="751"/>
      <c r="C280" s="474">
        <v>249</v>
      </c>
      <c r="D280" s="28">
        <v>51.2</v>
      </c>
      <c r="E280" s="29">
        <f t="shared" si="11"/>
        <v>551.11167999999998</v>
      </c>
      <c r="F280" s="306"/>
      <c r="G280" s="306"/>
      <c r="H280" s="306"/>
      <c r="I280" s="306"/>
      <c r="J280" s="307" t="s">
        <v>9</v>
      </c>
      <c r="K280" s="308" t="s">
        <v>69</v>
      </c>
      <c r="L280" s="309" t="s">
        <v>9</v>
      </c>
      <c r="M280" s="306"/>
      <c r="N280" s="306"/>
      <c r="O280" s="306"/>
      <c r="P280" s="310"/>
      <c r="Q280" s="392"/>
      <c r="R280" s="404" t="s">
        <v>174</v>
      </c>
    </row>
    <row r="281" spans="1:19" x14ac:dyDescent="0.35">
      <c r="A281" s="813"/>
      <c r="B281" s="751"/>
      <c r="C281" s="552">
        <v>250</v>
      </c>
      <c r="D281" s="28">
        <v>43.4</v>
      </c>
      <c r="E281" s="29">
        <f t="shared" si="11"/>
        <v>467.15325999999999</v>
      </c>
      <c r="F281" s="306"/>
      <c r="G281" s="306"/>
      <c r="H281" s="306"/>
      <c r="I281" s="306"/>
      <c r="J281" s="307" t="s">
        <v>9</v>
      </c>
      <c r="K281" s="308" t="s">
        <v>68</v>
      </c>
      <c r="L281" s="309" t="s">
        <v>9</v>
      </c>
      <c r="M281" s="306"/>
      <c r="N281" s="306"/>
      <c r="O281" s="306"/>
      <c r="P281" s="310"/>
      <c r="Q281" s="393"/>
      <c r="R281" s="404" t="s">
        <v>174</v>
      </c>
      <c r="S281" s="2" t="s">
        <v>9</v>
      </c>
    </row>
    <row r="282" spans="1:19" x14ac:dyDescent="0.35">
      <c r="A282" s="813"/>
      <c r="B282" s="751"/>
      <c r="C282" s="552">
        <v>251</v>
      </c>
      <c r="D282" s="28">
        <v>43.4</v>
      </c>
      <c r="E282" s="29">
        <f t="shared" si="11"/>
        <v>467.15325999999999</v>
      </c>
      <c r="F282" s="306"/>
      <c r="G282" s="306"/>
      <c r="H282" s="306"/>
      <c r="I282" s="306"/>
      <c r="J282" s="307" t="s">
        <v>9</v>
      </c>
      <c r="K282" s="308" t="s">
        <v>68</v>
      </c>
      <c r="L282" s="309" t="s">
        <v>9</v>
      </c>
      <c r="M282" s="306"/>
      <c r="N282" s="306"/>
      <c r="O282" s="306"/>
      <c r="P282" s="310"/>
      <c r="Q282" s="391"/>
      <c r="R282" s="404" t="s">
        <v>174</v>
      </c>
      <c r="S282" s="2" t="s">
        <v>9</v>
      </c>
    </row>
    <row r="283" spans="1:19" x14ac:dyDescent="0.35">
      <c r="A283" s="813"/>
      <c r="B283" s="751"/>
      <c r="C283" s="474">
        <v>252</v>
      </c>
      <c r="D283" s="28">
        <v>57.8</v>
      </c>
      <c r="E283" s="29">
        <f>SUM(D283*10.7639)</f>
        <v>622.15341999999998</v>
      </c>
      <c r="F283" s="306"/>
      <c r="G283" s="306"/>
      <c r="H283" s="306"/>
      <c r="I283" s="306"/>
      <c r="J283" s="307" t="s">
        <v>9</v>
      </c>
      <c r="K283" s="308" t="s">
        <v>69</v>
      </c>
      <c r="L283" s="309" t="s">
        <v>9</v>
      </c>
      <c r="M283" s="306"/>
      <c r="N283" s="306"/>
      <c r="O283" s="306"/>
      <c r="P283" s="310"/>
      <c r="Q283" s="391"/>
      <c r="R283" s="404" t="s">
        <v>174</v>
      </c>
    </row>
    <row r="284" spans="1:19" x14ac:dyDescent="0.35">
      <c r="A284" s="813"/>
      <c r="B284" s="751"/>
      <c r="C284" s="552">
        <v>253</v>
      </c>
      <c r="D284" s="28">
        <v>43.4</v>
      </c>
      <c r="E284" s="29">
        <f t="shared" si="11"/>
        <v>467.15325999999999</v>
      </c>
      <c r="F284" s="306"/>
      <c r="G284" s="306"/>
      <c r="H284" s="306"/>
      <c r="I284" s="306"/>
      <c r="J284" s="307" t="s">
        <v>9</v>
      </c>
      <c r="K284" s="308" t="s">
        <v>68</v>
      </c>
      <c r="L284" s="309" t="s">
        <v>9</v>
      </c>
      <c r="M284" s="306"/>
      <c r="N284" s="306"/>
      <c r="O284" s="306"/>
      <c r="P284" s="310"/>
      <c r="Q284" s="392"/>
      <c r="R284" s="404" t="s">
        <v>174</v>
      </c>
      <c r="S284" s="2" t="s">
        <v>9</v>
      </c>
    </row>
    <row r="285" spans="1:19" x14ac:dyDescent="0.35">
      <c r="A285" s="813"/>
      <c r="B285" s="751"/>
      <c r="C285" s="552">
        <v>254</v>
      </c>
      <c r="D285" s="28">
        <v>43.4</v>
      </c>
      <c r="E285" s="29">
        <f t="shared" si="11"/>
        <v>467.15325999999999</v>
      </c>
      <c r="F285" s="306"/>
      <c r="G285" s="306"/>
      <c r="H285" s="306"/>
      <c r="I285" s="306"/>
      <c r="J285" s="307" t="s">
        <v>9</v>
      </c>
      <c r="K285" s="308" t="s">
        <v>69</v>
      </c>
      <c r="L285" s="309" t="s">
        <v>9</v>
      </c>
      <c r="M285" s="306"/>
      <c r="N285" s="306"/>
      <c r="O285" s="306"/>
      <c r="P285" s="310"/>
      <c r="Q285" s="393"/>
      <c r="R285" s="404" t="s">
        <v>174</v>
      </c>
      <c r="S285" s="2" t="s">
        <v>9</v>
      </c>
    </row>
    <row r="286" spans="1:19" x14ac:dyDescent="0.35">
      <c r="A286" s="813"/>
      <c r="B286" s="751"/>
      <c r="C286" s="552">
        <v>255</v>
      </c>
      <c r="D286" s="28">
        <v>43.4</v>
      </c>
      <c r="E286" s="29">
        <f t="shared" si="11"/>
        <v>467.15325999999999</v>
      </c>
      <c r="F286" s="306"/>
      <c r="G286" s="306"/>
      <c r="H286" s="306"/>
      <c r="I286" s="306"/>
      <c r="J286" s="307" t="s">
        <v>9</v>
      </c>
      <c r="K286" s="308" t="s">
        <v>68</v>
      </c>
      <c r="L286" s="309" t="s">
        <v>9</v>
      </c>
      <c r="M286" s="306"/>
      <c r="N286" s="306"/>
      <c r="O286" s="306"/>
      <c r="P286" s="310"/>
      <c r="Q286" s="391"/>
      <c r="R286" s="404" t="s">
        <v>174</v>
      </c>
      <c r="S286" s="2" t="s">
        <v>9</v>
      </c>
    </row>
    <row r="287" spans="1:19" x14ac:dyDescent="0.35">
      <c r="A287" s="813"/>
      <c r="B287" s="751"/>
      <c r="C287" s="552">
        <v>256</v>
      </c>
      <c r="D287" s="28">
        <v>43.4</v>
      </c>
      <c r="E287" s="29">
        <f t="shared" si="11"/>
        <v>467.15325999999999</v>
      </c>
      <c r="F287" s="306"/>
      <c r="G287" s="306"/>
      <c r="H287" s="306"/>
      <c r="I287" s="306"/>
      <c r="J287" s="307" t="s">
        <v>9</v>
      </c>
      <c r="K287" s="308" t="s">
        <v>69</v>
      </c>
      <c r="L287" s="309" t="s">
        <v>9</v>
      </c>
      <c r="M287" s="306"/>
      <c r="N287" s="306"/>
      <c r="O287" s="306"/>
      <c r="P287" s="310"/>
      <c r="Q287" s="391"/>
      <c r="R287" s="404" t="s">
        <v>174</v>
      </c>
      <c r="S287" s="2" t="s">
        <v>9</v>
      </c>
    </row>
    <row r="288" spans="1:19" x14ac:dyDescent="0.35">
      <c r="A288" s="813"/>
      <c r="B288" s="751"/>
      <c r="C288" s="552">
        <v>257</v>
      </c>
      <c r="D288" s="28">
        <v>43.4</v>
      </c>
      <c r="E288" s="29">
        <f t="shared" si="11"/>
        <v>467.15325999999999</v>
      </c>
      <c r="F288" s="306"/>
      <c r="G288" s="306"/>
      <c r="H288" s="306"/>
      <c r="I288" s="306"/>
      <c r="J288" s="307" t="s">
        <v>9</v>
      </c>
      <c r="K288" s="308" t="s">
        <v>68</v>
      </c>
      <c r="L288" s="309" t="s">
        <v>9</v>
      </c>
      <c r="M288" s="306"/>
      <c r="N288" s="306"/>
      <c r="O288" s="306"/>
      <c r="P288" s="310"/>
      <c r="Q288" s="391"/>
      <c r="R288" s="404" t="s">
        <v>174</v>
      </c>
      <c r="S288" s="2" t="s">
        <v>9</v>
      </c>
    </row>
    <row r="289" spans="1:19" x14ac:dyDescent="0.35">
      <c r="A289" s="813"/>
      <c r="B289" s="751"/>
      <c r="C289" s="552">
        <v>258</v>
      </c>
      <c r="D289" s="28">
        <v>43.4</v>
      </c>
      <c r="E289" s="29">
        <f t="shared" si="11"/>
        <v>467.15325999999999</v>
      </c>
      <c r="F289" s="306"/>
      <c r="G289" s="306"/>
      <c r="H289" s="306"/>
      <c r="I289" s="306"/>
      <c r="J289" s="307" t="s">
        <v>9</v>
      </c>
      <c r="K289" s="308" t="s">
        <v>69</v>
      </c>
      <c r="L289" s="309" t="s">
        <v>9</v>
      </c>
      <c r="M289" s="306"/>
      <c r="N289" s="306"/>
      <c r="O289" s="306"/>
      <c r="P289" s="310"/>
      <c r="Q289" s="391"/>
      <c r="R289" s="404" t="s">
        <v>174</v>
      </c>
      <c r="S289" s="2" t="s">
        <v>9</v>
      </c>
    </row>
    <row r="290" spans="1:19" x14ac:dyDescent="0.35">
      <c r="A290" s="813"/>
      <c r="B290" s="751"/>
      <c r="C290" s="552">
        <v>259</v>
      </c>
      <c r="D290" s="28">
        <v>43.4</v>
      </c>
      <c r="E290" s="29">
        <f t="shared" si="11"/>
        <v>467.15325999999999</v>
      </c>
      <c r="F290" s="306"/>
      <c r="G290" s="306"/>
      <c r="H290" s="306"/>
      <c r="I290" s="306"/>
      <c r="J290" s="307" t="s">
        <v>9</v>
      </c>
      <c r="K290" s="308" t="s">
        <v>68</v>
      </c>
      <c r="L290" s="309" t="s">
        <v>9</v>
      </c>
      <c r="M290" s="306"/>
      <c r="N290" s="306"/>
      <c r="O290" s="306"/>
      <c r="P290" s="310"/>
      <c r="Q290" s="392"/>
      <c r="R290" s="404" t="s">
        <v>174</v>
      </c>
      <c r="S290" s="2" t="s">
        <v>9</v>
      </c>
    </row>
    <row r="291" spans="1:19" x14ac:dyDescent="0.35">
      <c r="A291" s="813"/>
      <c r="B291" s="751"/>
      <c r="C291" s="474">
        <v>260</v>
      </c>
      <c r="D291" s="28">
        <v>51.2</v>
      </c>
      <c r="E291" s="29">
        <f t="shared" si="11"/>
        <v>551.11167999999998</v>
      </c>
      <c r="F291" s="306"/>
      <c r="G291" s="306"/>
      <c r="H291" s="306"/>
      <c r="I291" s="306"/>
      <c r="J291" s="307" t="s">
        <v>9</v>
      </c>
      <c r="K291" s="308" t="s">
        <v>69</v>
      </c>
      <c r="L291" s="309" t="s">
        <v>9</v>
      </c>
      <c r="M291" s="306"/>
      <c r="N291" s="306"/>
      <c r="O291" s="306"/>
      <c r="P291" s="310"/>
      <c r="Q291" s="392"/>
      <c r="R291" s="404" t="s">
        <v>174</v>
      </c>
    </row>
    <row r="292" spans="1:19" x14ac:dyDescent="0.35">
      <c r="A292" s="813"/>
      <c r="B292" s="751"/>
      <c r="C292" s="552">
        <v>261</v>
      </c>
      <c r="D292" s="28">
        <v>43.4</v>
      </c>
      <c r="E292" s="29">
        <f t="shared" si="11"/>
        <v>467.15325999999999</v>
      </c>
      <c r="F292" s="306"/>
      <c r="G292" s="306"/>
      <c r="H292" s="306"/>
      <c r="I292" s="306"/>
      <c r="J292" s="307" t="s">
        <v>9</v>
      </c>
      <c r="K292" s="308" t="s">
        <v>68</v>
      </c>
      <c r="L292" s="309" t="s">
        <v>9</v>
      </c>
      <c r="M292" s="306"/>
      <c r="N292" s="306"/>
      <c r="O292" s="306"/>
      <c r="P292" s="310"/>
      <c r="Q292" s="393"/>
      <c r="R292" s="404" t="s">
        <v>174</v>
      </c>
      <c r="S292" s="2" t="s">
        <v>9</v>
      </c>
    </row>
    <row r="293" spans="1:19" x14ac:dyDescent="0.35">
      <c r="A293" s="813"/>
      <c r="B293" s="751"/>
      <c r="C293" s="552">
        <v>262</v>
      </c>
      <c r="D293" s="28">
        <v>43.4</v>
      </c>
      <c r="E293" s="29">
        <f t="shared" si="11"/>
        <v>467.15325999999999</v>
      </c>
      <c r="F293" s="306"/>
      <c r="G293" s="306"/>
      <c r="H293" s="306"/>
      <c r="I293" s="306"/>
      <c r="J293" s="307" t="s">
        <v>9</v>
      </c>
      <c r="K293" s="308" t="s">
        <v>68</v>
      </c>
      <c r="L293" s="309" t="s">
        <v>9</v>
      </c>
      <c r="M293" s="306"/>
      <c r="N293" s="306"/>
      <c r="O293" s="306"/>
      <c r="P293" s="310"/>
      <c r="Q293" s="391"/>
      <c r="R293" s="404" t="s">
        <v>174</v>
      </c>
      <c r="S293" s="2" t="s">
        <v>9</v>
      </c>
    </row>
    <row r="294" spans="1:19" x14ac:dyDescent="0.35">
      <c r="A294" s="813"/>
      <c r="B294" s="751"/>
      <c r="C294" s="552">
        <v>263</v>
      </c>
      <c r="D294" s="28">
        <v>43.4</v>
      </c>
      <c r="E294" s="29">
        <f t="shared" si="11"/>
        <v>467.15325999999999</v>
      </c>
      <c r="F294" s="306"/>
      <c r="G294" s="306"/>
      <c r="H294" s="306"/>
      <c r="I294" s="306"/>
      <c r="J294" s="307" t="s">
        <v>9</v>
      </c>
      <c r="K294" s="308" t="s">
        <v>68</v>
      </c>
      <c r="L294" s="309" t="s">
        <v>9</v>
      </c>
      <c r="M294" s="306"/>
      <c r="N294" s="306"/>
      <c r="O294" s="306"/>
      <c r="P294" s="310"/>
      <c r="Q294" s="391"/>
      <c r="R294" s="404" t="s">
        <v>174</v>
      </c>
      <c r="S294" s="2" t="s">
        <v>9</v>
      </c>
    </row>
    <row r="295" spans="1:19" x14ac:dyDescent="0.35">
      <c r="A295" s="813"/>
      <c r="B295" s="751"/>
      <c r="C295" s="552">
        <v>264</v>
      </c>
      <c r="D295" s="28">
        <v>43.4</v>
      </c>
      <c r="E295" s="29">
        <f t="shared" si="11"/>
        <v>467.15325999999999</v>
      </c>
      <c r="F295" s="306"/>
      <c r="G295" s="306"/>
      <c r="H295" s="306"/>
      <c r="I295" s="306"/>
      <c r="J295" s="307" t="s">
        <v>9</v>
      </c>
      <c r="K295" s="308" t="s">
        <v>69</v>
      </c>
      <c r="L295" s="309" t="s">
        <v>9</v>
      </c>
      <c r="M295" s="306"/>
      <c r="N295" s="306"/>
      <c r="O295" s="306"/>
      <c r="P295" s="310"/>
      <c r="Q295" s="391"/>
      <c r="R295" s="404" t="s">
        <v>174</v>
      </c>
      <c r="S295" s="2" t="s">
        <v>9</v>
      </c>
    </row>
    <row r="296" spans="1:19" x14ac:dyDescent="0.35">
      <c r="A296" s="813"/>
      <c r="B296" s="751"/>
      <c r="C296" s="552">
        <v>265</v>
      </c>
      <c r="D296" s="28">
        <v>43.4</v>
      </c>
      <c r="E296" s="29">
        <f t="shared" si="11"/>
        <v>467.15325999999999</v>
      </c>
      <c r="F296" s="306"/>
      <c r="G296" s="306"/>
      <c r="H296" s="306"/>
      <c r="I296" s="306"/>
      <c r="J296" s="307" t="s">
        <v>9</v>
      </c>
      <c r="K296" s="308" t="s">
        <v>68</v>
      </c>
      <c r="L296" s="309" t="s">
        <v>9</v>
      </c>
      <c r="M296" s="306"/>
      <c r="N296" s="306"/>
      <c r="O296" s="306"/>
      <c r="P296" s="310"/>
      <c r="Q296" s="392"/>
      <c r="R296" s="404" t="s">
        <v>174</v>
      </c>
      <c r="S296" s="2" t="s">
        <v>9</v>
      </c>
    </row>
    <row r="297" spans="1:19" x14ac:dyDescent="0.35">
      <c r="A297" s="813"/>
      <c r="B297" s="751"/>
      <c r="C297" s="552">
        <v>266</v>
      </c>
      <c r="D297" s="28">
        <v>43.4</v>
      </c>
      <c r="E297" s="29">
        <f t="shared" si="11"/>
        <v>467.15325999999999</v>
      </c>
      <c r="F297" s="306"/>
      <c r="G297" s="306"/>
      <c r="H297" s="306"/>
      <c r="I297" s="306"/>
      <c r="J297" s="307" t="s">
        <v>9</v>
      </c>
      <c r="K297" s="308" t="s">
        <v>69</v>
      </c>
      <c r="L297" s="309" t="s">
        <v>9</v>
      </c>
      <c r="M297" s="306"/>
      <c r="N297" s="306"/>
      <c r="O297" s="306"/>
      <c r="P297" s="310"/>
      <c r="Q297" s="392"/>
      <c r="R297" s="404" t="s">
        <v>174</v>
      </c>
      <c r="S297" s="2" t="s">
        <v>9</v>
      </c>
    </row>
    <row r="298" spans="1:19" x14ac:dyDescent="0.35">
      <c r="A298" s="813"/>
      <c r="B298" s="751"/>
      <c r="C298" s="552">
        <v>267</v>
      </c>
      <c r="D298" s="28">
        <v>43.4</v>
      </c>
      <c r="E298" s="29">
        <f t="shared" si="11"/>
        <v>467.15325999999999</v>
      </c>
      <c r="F298" s="306"/>
      <c r="G298" s="306"/>
      <c r="H298" s="306"/>
      <c r="I298" s="306"/>
      <c r="J298" s="307" t="s">
        <v>9</v>
      </c>
      <c r="K298" s="308" t="s">
        <v>68</v>
      </c>
      <c r="L298" s="309" t="s">
        <v>9</v>
      </c>
      <c r="M298" s="306"/>
      <c r="N298" s="306"/>
      <c r="O298" s="306"/>
      <c r="P298" s="310"/>
      <c r="Q298" s="391"/>
      <c r="R298" s="404" t="s">
        <v>174</v>
      </c>
      <c r="S298" s="2" t="s">
        <v>9</v>
      </c>
    </row>
    <row r="299" spans="1:19" x14ac:dyDescent="0.35">
      <c r="A299" s="813"/>
      <c r="B299" s="751"/>
      <c r="C299" s="552">
        <v>268</v>
      </c>
      <c r="D299" s="28">
        <v>43.4</v>
      </c>
      <c r="E299" s="29">
        <f t="shared" si="11"/>
        <v>467.15325999999999</v>
      </c>
      <c r="F299" s="306"/>
      <c r="G299" s="306"/>
      <c r="H299" s="306"/>
      <c r="I299" s="306"/>
      <c r="J299" s="307" t="s">
        <v>9</v>
      </c>
      <c r="K299" s="308" t="s">
        <v>69</v>
      </c>
      <c r="L299" s="309" t="s">
        <v>9</v>
      </c>
      <c r="M299" s="306"/>
      <c r="N299" s="306"/>
      <c r="O299" s="306"/>
      <c r="P299" s="310"/>
      <c r="Q299" s="391"/>
      <c r="R299" s="404" t="s">
        <v>174</v>
      </c>
      <c r="S299" s="2" t="s">
        <v>9</v>
      </c>
    </row>
    <row r="300" spans="1:19" x14ac:dyDescent="0.35">
      <c r="A300" s="813"/>
      <c r="B300" s="751"/>
      <c r="C300" s="552">
        <v>269</v>
      </c>
      <c r="D300" s="28">
        <v>43.4</v>
      </c>
      <c r="E300" s="29">
        <f t="shared" si="11"/>
        <v>467.15325999999999</v>
      </c>
      <c r="F300" s="306"/>
      <c r="G300" s="306"/>
      <c r="H300" s="306"/>
      <c r="I300" s="306"/>
      <c r="J300" s="307" t="s">
        <v>9</v>
      </c>
      <c r="K300" s="308" t="s">
        <v>68</v>
      </c>
      <c r="L300" s="309" t="s">
        <v>9</v>
      </c>
      <c r="M300" s="306"/>
      <c r="N300" s="306"/>
      <c r="O300" s="306"/>
      <c r="P300" s="310"/>
      <c r="Q300" s="394"/>
      <c r="R300" s="404" t="s">
        <v>174</v>
      </c>
      <c r="S300" s="2" t="s">
        <v>9</v>
      </c>
    </row>
    <row r="301" spans="1:19" x14ac:dyDescent="0.35">
      <c r="A301" s="813"/>
      <c r="B301" s="751"/>
      <c r="C301" s="474">
        <v>270</v>
      </c>
      <c r="D301" s="28">
        <v>51.2</v>
      </c>
      <c r="E301" s="29">
        <f t="shared" si="11"/>
        <v>551.11167999999998</v>
      </c>
      <c r="F301" s="306"/>
      <c r="G301" s="306"/>
      <c r="H301" s="306"/>
      <c r="I301" s="306"/>
      <c r="J301" s="307" t="s">
        <v>9</v>
      </c>
      <c r="K301" s="308" t="s">
        <v>69</v>
      </c>
      <c r="L301" s="309" t="s">
        <v>9</v>
      </c>
      <c r="M301" s="306"/>
      <c r="N301" s="306"/>
      <c r="O301" s="306"/>
      <c r="P301" s="310"/>
      <c r="Q301" s="393"/>
      <c r="R301" s="404" t="s">
        <v>174</v>
      </c>
    </row>
    <row r="302" spans="1:19" x14ac:dyDescent="0.35">
      <c r="A302" s="813"/>
      <c r="B302" s="751"/>
      <c r="C302" s="552">
        <v>271</v>
      </c>
      <c r="D302" s="28">
        <v>43.4</v>
      </c>
      <c r="E302" s="29">
        <f t="shared" si="11"/>
        <v>467.15325999999999</v>
      </c>
      <c r="F302" s="306"/>
      <c r="G302" s="306"/>
      <c r="H302" s="306"/>
      <c r="I302" s="306"/>
      <c r="J302" s="307" t="s">
        <v>9</v>
      </c>
      <c r="K302" s="308" t="s">
        <v>68</v>
      </c>
      <c r="L302" s="309" t="s">
        <v>9</v>
      </c>
      <c r="M302" s="306"/>
      <c r="N302" s="306"/>
      <c r="O302" s="306"/>
      <c r="P302" s="310"/>
      <c r="Q302" s="391"/>
      <c r="R302" s="404" t="s">
        <v>174</v>
      </c>
      <c r="S302" s="2" t="s">
        <v>9</v>
      </c>
    </row>
    <row r="303" spans="1:19" x14ac:dyDescent="0.35">
      <c r="A303" s="813"/>
      <c r="B303" s="751"/>
      <c r="C303" s="552">
        <v>272</v>
      </c>
      <c r="D303" s="28">
        <v>43.4</v>
      </c>
      <c r="E303" s="29">
        <f t="shared" si="11"/>
        <v>467.15325999999999</v>
      </c>
      <c r="F303" s="306"/>
      <c r="G303" s="306"/>
      <c r="H303" s="306"/>
      <c r="I303" s="306"/>
      <c r="J303" s="307" t="s">
        <v>9</v>
      </c>
      <c r="K303" s="308" t="s">
        <v>68</v>
      </c>
      <c r="L303" s="309" t="s">
        <v>9</v>
      </c>
      <c r="M303" s="306"/>
      <c r="N303" s="306"/>
      <c r="O303" s="306"/>
      <c r="P303" s="310"/>
      <c r="Q303" s="391"/>
      <c r="R303" s="404" t="s">
        <v>174</v>
      </c>
      <c r="S303" s="2" t="s">
        <v>9</v>
      </c>
    </row>
    <row r="304" spans="1:19" x14ac:dyDescent="0.35">
      <c r="A304" s="813"/>
      <c r="B304" s="751"/>
      <c r="C304" s="474">
        <v>273</v>
      </c>
      <c r="D304" s="28">
        <v>50.8</v>
      </c>
      <c r="E304" s="29">
        <f t="shared" si="11"/>
        <v>546.80611999999996</v>
      </c>
      <c r="F304" s="306"/>
      <c r="G304" s="306"/>
      <c r="H304" s="306"/>
      <c r="I304" s="306"/>
      <c r="J304" s="307" t="s">
        <v>9</v>
      </c>
      <c r="K304" s="308" t="s">
        <v>67</v>
      </c>
      <c r="L304" s="309" t="s">
        <v>9</v>
      </c>
      <c r="M304" s="306"/>
      <c r="N304" s="306"/>
      <c r="O304" s="306"/>
      <c r="P304" s="310"/>
      <c r="Q304" s="391"/>
      <c r="R304" s="404" t="s">
        <v>174</v>
      </c>
    </row>
    <row r="305" spans="1:19" x14ac:dyDescent="0.35">
      <c r="A305" s="813"/>
      <c r="B305" s="751"/>
      <c r="C305" s="552">
        <v>274</v>
      </c>
      <c r="D305" s="28">
        <v>39.200000000000003</v>
      </c>
      <c r="E305" s="29">
        <f t="shared" si="11"/>
        <v>421.94488000000001</v>
      </c>
      <c r="F305" s="306"/>
      <c r="G305" s="306"/>
      <c r="H305" s="554" t="s">
        <v>9</v>
      </c>
      <c r="I305" s="306"/>
      <c r="J305" s="307"/>
      <c r="K305" s="308" t="s">
        <v>68</v>
      </c>
      <c r="L305" s="309" t="s">
        <v>9</v>
      </c>
      <c r="M305" s="306"/>
      <c r="N305" s="306"/>
      <c r="O305" s="306"/>
      <c r="P305" s="310"/>
      <c r="Q305" s="391"/>
      <c r="R305" s="404" t="s">
        <v>174</v>
      </c>
      <c r="S305" s="2" t="s">
        <v>9</v>
      </c>
    </row>
    <row r="306" spans="1:19" x14ac:dyDescent="0.35">
      <c r="A306" s="813"/>
      <c r="B306" s="751"/>
      <c r="C306" s="474">
        <v>275</v>
      </c>
      <c r="D306" s="28">
        <v>57.8</v>
      </c>
      <c r="E306" s="29">
        <f t="shared" si="11"/>
        <v>622.15341999999998</v>
      </c>
      <c r="F306" s="306"/>
      <c r="G306" s="306"/>
      <c r="H306" s="306"/>
      <c r="I306" s="306" t="s">
        <v>9</v>
      </c>
      <c r="J306" s="307"/>
      <c r="K306" s="308" t="s">
        <v>69</v>
      </c>
      <c r="L306" s="309" t="s">
        <v>9</v>
      </c>
      <c r="M306" s="306"/>
      <c r="N306" s="306"/>
      <c r="O306" s="306"/>
      <c r="P306" s="310"/>
      <c r="Q306" s="391"/>
      <c r="R306" s="403" t="s">
        <v>176</v>
      </c>
    </row>
    <row r="307" spans="1:19" x14ac:dyDescent="0.35">
      <c r="A307" s="813"/>
      <c r="B307" s="751"/>
      <c r="C307" s="474">
        <v>276</v>
      </c>
      <c r="D307" s="28">
        <v>57.8</v>
      </c>
      <c r="E307" s="29">
        <f t="shared" si="11"/>
        <v>622.15341999999998</v>
      </c>
      <c r="F307" s="306"/>
      <c r="G307" s="306"/>
      <c r="H307" s="306"/>
      <c r="I307" s="306" t="s">
        <v>9</v>
      </c>
      <c r="J307" s="307"/>
      <c r="K307" s="308" t="s">
        <v>69</v>
      </c>
      <c r="L307" s="309" t="s">
        <v>9</v>
      </c>
      <c r="M307" s="306"/>
      <c r="N307" s="306"/>
      <c r="O307" s="306"/>
      <c r="P307" s="310"/>
      <c r="Q307" s="392"/>
      <c r="R307" s="403" t="s">
        <v>176</v>
      </c>
    </row>
    <row r="308" spans="1:19" x14ac:dyDescent="0.35">
      <c r="A308" s="813"/>
      <c r="B308" s="751"/>
      <c r="C308" s="474">
        <v>277</v>
      </c>
      <c r="D308" s="28">
        <v>50.1</v>
      </c>
      <c r="E308" s="29">
        <f t="shared" si="11"/>
        <v>539.27139</v>
      </c>
      <c r="F308" s="306"/>
      <c r="G308" s="306"/>
      <c r="H308" s="306"/>
      <c r="I308" s="306"/>
      <c r="J308" s="307" t="s">
        <v>9</v>
      </c>
      <c r="K308" s="308" t="s">
        <v>68</v>
      </c>
      <c r="L308" s="309" t="s">
        <v>9</v>
      </c>
      <c r="M308" s="306"/>
      <c r="N308" s="306"/>
      <c r="O308" s="306"/>
      <c r="P308" s="310"/>
      <c r="Q308" s="393"/>
      <c r="R308" s="403" t="s">
        <v>176</v>
      </c>
    </row>
    <row r="309" spans="1:19" x14ac:dyDescent="0.35">
      <c r="A309" s="813"/>
      <c r="B309" s="751"/>
      <c r="C309" s="474">
        <v>278</v>
      </c>
      <c r="D309" s="28">
        <v>100.1</v>
      </c>
      <c r="E309" s="29">
        <f t="shared" si="11"/>
        <v>1077.4663899999998</v>
      </c>
      <c r="F309" s="306"/>
      <c r="G309" s="306"/>
      <c r="H309" s="306"/>
      <c r="I309" s="306" t="s">
        <v>9</v>
      </c>
      <c r="J309" s="307"/>
      <c r="K309" s="308" t="s">
        <v>68</v>
      </c>
      <c r="L309" s="309"/>
      <c r="M309" s="306" t="s">
        <v>9</v>
      </c>
      <c r="N309" s="306"/>
      <c r="O309" s="306"/>
      <c r="P309" s="310"/>
      <c r="Q309" s="391"/>
      <c r="R309" s="403" t="s">
        <v>176</v>
      </c>
    </row>
    <row r="310" spans="1:19" x14ac:dyDescent="0.35">
      <c r="A310" s="813"/>
      <c r="B310" s="751"/>
      <c r="C310" s="474">
        <v>279</v>
      </c>
      <c r="D310" s="28">
        <v>57.8</v>
      </c>
      <c r="E310" s="29">
        <f t="shared" si="11"/>
        <v>622.15341999999998</v>
      </c>
      <c r="F310" s="306"/>
      <c r="G310" s="306"/>
      <c r="H310" s="306"/>
      <c r="I310" s="306" t="s">
        <v>9</v>
      </c>
      <c r="J310" s="307"/>
      <c r="K310" s="308" t="s">
        <v>66</v>
      </c>
      <c r="L310" s="309" t="s">
        <v>9</v>
      </c>
      <c r="M310" s="306"/>
      <c r="N310" s="306"/>
      <c r="O310" s="306"/>
      <c r="P310" s="310"/>
      <c r="Q310" s="391" t="s">
        <v>9</v>
      </c>
      <c r="R310" s="403" t="s">
        <v>176</v>
      </c>
    </row>
    <row r="311" spans="1:19" x14ac:dyDescent="0.35">
      <c r="A311" s="813"/>
      <c r="B311" s="751"/>
      <c r="C311" s="474">
        <v>280</v>
      </c>
      <c r="D311" s="28">
        <v>57.8</v>
      </c>
      <c r="E311" s="29">
        <f t="shared" si="11"/>
        <v>622.15341999999998</v>
      </c>
      <c r="F311" s="306"/>
      <c r="G311" s="306"/>
      <c r="H311" s="306"/>
      <c r="I311" s="306" t="s">
        <v>9</v>
      </c>
      <c r="J311" s="307"/>
      <c r="K311" s="308" t="s">
        <v>66</v>
      </c>
      <c r="L311" s="309" t="s">
        <v>9</v>
      </c>
      <c r="M311" s="306"/>
      <c r="N311" s="306"/>
      <c r="O311" s="306"/>
      <c r="P311" s="310"/>
      <c r="Q311" s="391" t="s">
        <v>9</v>
      </c>
      <c r="R311" s="403" t="s">
        <v>176</v>
      </c>
    </row>
    <row r="312" spans="1:19" x14ac:dyDescent="0.35">
      <c r="A312" s="813"/>
      <c r="B312" s="751"/>
      <c r="C312" s="474">
        <v>281</v>
      </c>
      <c r="D312" s="28">
        <v>69.599999999999994</v>
      </c>
      <c r="E312" s="29">
        <f t="shared" si="11"/>
        <v>749.16743999999994</v>
      </c>
      <c r="F312" s="306"/>
      <c r="G312" s="306"/>
      <c r="H312" s="306"/>
      <c r="I312" s="306" t="s">
        <v>9</v>
      </c>
      <c r="J312" s="307"/>
      <c r="K312" s="308" t="s">
        <v>69</v>
      </c>
      <c r="L312" s="309"/>
      <c r="M312" s="306" t="s">
        <v>9</v>
      </c>
      <c r="N312" s="306"/>
      <c r="O312" s="306"/>
      <c r="P312" s="310"/>
      <c r="Q312" s="391"/>
      <c r="R312" s="403" t="s">
        <v>176</v>
      </c>
    </row>
    <row r="313" spans="1:19" x14ac:dyDescent="0.35">
      <c r="A313" s="813"/>
      <c r="B313" s="751"/>
      <c r="C313" s="474">
        <v>282</v>
      </c>
      <c r="D313" s="28">
        <v>69.599999999999994</v>
      </c>
      <c r="E313" s="29">
        <f t="shared" si="11"/>
        <v>749.16743999999994</v>
      </c>
      <c r="F313" s="306"/>
      <c r="G313" s="306"/>
      <c r="H313" s="306"/>
      <c r="I313" s="306" t="s">
        <v>9</v>
      </c>
      <c r="J313" s="307"/>
      <c r="K313" s="308" t="s">
        <v>69</v>
      </c>
      <c r="L313" s="309"/>
      <c r="M313" s="306" t="s">
        <v>9</v>
      </c>
      <c r="N313" s="306"/>
      <c r="O313" s="306"/>
      <c r="P313" s="310"/>
      <c r="Q313" s="392"/>
      <c r="R313" s="403" t="s">
        <v>176</v>
      </c>
    </row>
    <row r="314" spans="1:19" x14ac:dyDescent="0.35">
      <c r="A314" s="813"/>
      <c r="B314" s="751"/>
      <c r="C314" s="474">
        <v>283</v>
      </c>
      <c r="D314" s="28">
        <v>69.599999999999994</v>
      </c>
      <c r="E314" s="29">
        <f t="shared" si="11"/>
        <v>749.16743999999994</v>
      </c>
      <c r="F314" s="306"/>
      <c r="G314" s="306"/>
      <c r="H314" s="306"/>
      <c r="I314" s="306" t="s">
        <v>9</v>
      </c>
      <c r="J314" s="307"/>
      <c r="K314" s="308" t="s">
        <v>69</v>
      </c>
      <c r="L314" s="309"/>
      <c r="M314" s="306" t="s">
        <v>9</v>
      </c>
      <c r="N314" s="306"/>
      <c r="O314" s="306"/>
      <c r="P314" s="310"/>
      <c r="Q314" s="393"/>
      <c r="R314" s="403" t="s">
        <v>176</v>
      </c>
    </row>
    <row r="315" spans="1:19" x14ac:dyDescent="0.35">
      <c r="A315" s="813"/>
      <c r="B315" s="751"/>
      <c r="C315" s="474">
        <v>284</v>
      </c>
      <c r="D315" s="28">
        <v>69.599999999999994</v>
      </c>
      <c r="E315" s="29">
        <f t="shared" si="11"/>
        <v>749.16743999999994</v>
      </c>
      <c r="F315" s="306"/>
      <c r="G315" s="306"/>
      <c r="H315" s="306"/>
      <c r="I315" s="306" t="s">
        <v>9</v>
      </c>
      <c r="J315" s="307"/>
      <c r="K315" s="308" t="s">
        <v>69</v>
      </c>
      <c r="L315" s="309"/>
      <c r="M315" s="306" t="s">
        <v>9</v>
      </c>
      <c r="N315" s="306"/>
      <c r="O315" s="306"/>
      <c r="P315" s="310"/>
      <c r="Q315" s="391"/>
      <c r="R315" s="403" t="s">
        <v>176</v>
      </c>
    </row>
    <row r="316" spans="1:19" x14ac:dyDescent="0.35">
      <c r="A316" s="813"/>
      <c r="B316" s="751"/>
      <c r="C316" s="474">
        <v>285</v>
      </c>
      <c r="D316" s="28">
        <v>87.3</v>
      </c>
      <c r="E316" s="29">
        <f t="shared" si="11"/>
        <v>939.68846999999994</v>
      </c>
      <c r="F316" s="306"/>
      <c r="G316" s="306"/>
      <c r="H316" s="306"/>
      <c r="I316" s="306" t="s">
        <v>9</v>
      </c>
      <c r="J316" s="307"/>
      <c r="K316" s="308" t="s">
        <v>69</v>
      </c>
      <c r="L316" s="309"/>
      <c r="M316" s="306"/>
      <c r="N316" s="306" t="s">
        <v>9</v>
      </c>
      <c r="O316" s="306"/>
      <c r="P316" s="310"/>
      <c r="Q316" s="391"/>
      <c r="R316" s="403" t="s">
        <v>176</v>
      </c>
    </row>
    <row r="317" spans="1:19" x14ac:dyDescent="0.35">
      <c r="A317" s="813"/>
      <c r="B317" s="751"/>
      <c r="C317" s="474">
        <v>286</v>
      </c>
      <c r="D317" s="28">
        <v>87.3</v>
      </c>
      <c r="E317" s="29">
        <f t="shared" si="11"/>
        <v>939.68846999999994</v>
      </c>
      <c r="F317" s="306"/>
      <c r="G317" s="306"/>
      <c r="H317" s="306"/>
      <c r="I317" s="306" t="s">
        <v>9</v>
      </c>
      <c r="J317" s="307"/>
      <c r="K317" s="308" t="s">
        <v>69</v>
      </c>
      <c r="L317" s="309"/>
      <c r="M317" s="306"/>
      <c r="N317" s="306" t="s">
        <v>9</v>
      </c>
      <c r="O317" s="306"/>
      <c r="P317" s="310"/>
      <c r="Q317" s="391"/>
      <c r="R317" s="403" t="s">
        <v>176</v>
      </c>
    </row>
    <row r="318" spans="1:19" x14ac:dyDescent="0.35">
      <c r="A318" s="813"/>
      <c r="B318" s="751"/>
      <c r="C318" s="474">
        <v>287</v>
      </c>
      <c r="D318" s="28">
        <v>69.599999999999994</v>
      </c>
      <c r="E318" s="29">
        <f t="shared" si="11"/>
        <v>749.16743999999994</v>
      </c>
      <c r="F318" s="306"/>
      <c r="G318" s="306"/>
      <c r="H318" s="306"/>
      <c r="I318" s="306" t="s">
        <v>9</v>
      </c>
      <c r="J318" s="307"/>
      <c r="K318" s="308" t="s">
        <v>69</v>
      </c>
      <c r="L318" s="309"/>
      <c r="M318" s="306" t="s">
        <v>9</v>
      </c>
      <c r="N318" s="306"/>
      <c r="O318" s="306"/>
      <c r="P318" s="310"/>
      <c r="Q318" s="393"/>
      <c r="R318" s="403" t="s">
        <v>176</v>
      </c>
    </row>
    <row r="319" spans="1:19" x14ac:dyDescent="0.35">
      <c r="A319" s="813"/>
      <c r="B319" s="751"/>
      <c r="C319" s="474">
        <v>288</v>
      </c>
      <c r="D319" s="28">
        <v>69.599999999999994</v>
      </c>
      <c r="E319" s="29">
        <f t="shared" si="11"/>
        <v>749.16743999999994</v>
      </c>
      <c r="F319" s="306"/>
      <c r="G319" s="306"/>
      <c r="H319" s="306"/>
      <c r="I319" s="306" t="s">
        <v>9</v>
      </c>
      <c r="J319" s="307"/>
      <c r="K319" s="308" t="s">
        <v>69</v>
      </c>
      <c r="L319" s="309"/>
      <c r="M319" s="306" t="s">
        <v>9</v>
      </c>
      <c r="N319" s="306"/>
      <c r="O319" s="306"/>
      <c r="P319" s="310"/>
      <c r="Q319" s="391"/>
      <c r="R319" s="403" t="s">
        <v>176</v>
      </c>
    </row>
    <row r="320" spans="1:19" x14ac:dyDescent="0.35">
      <c r="A320" s="813"/>
      <c r="B320" s="751"/>
      <c r="C320" s="474">
        <v>289</v>
      </c>
      <c r="D320" s="28">
        <v>59.4</v>
      </c>
      <c r="E320" s="29">
        <f t="shared" si="11"/>
        <v>639.37565999999993</v>
      </c>
      <c r="F320" s="306"/>
      <c r="G320" s="306"/>
      <c r="H320" s="306"/>
      <c r="I320" s="306"/>
      <c r="J320" s="307" t="s">
        <v>9</v>
      </c>
      <c r="K320" s="308" t="s">
        <v>68</v>
      </c>
      <c r="L320" s="309" t="s">
        <v>9</v>
      </c>
      <c r="M320" s="306"/>
      <c r="N320" s="306"/>
      <c r="O320" s="306"/>
      <c r="P320" s="310"/>
      <c r="Q320" s="391"/>
      <c r="R320" s="404" t="s">
        <v>174</v>
      </c>
    </row>
    <row r="321" spans="1:18" x14ac:dyDescent="0.35">
      <c r="A321" s="813"/>
      <c r="B321" s="751"/>
      <c r="C321" s="474">
        <v>290</v>
      </c>
      <c r="D321" s="28">
        <v>66.5</v>
      </c>
      <c r="E321" s="29">
        <f t="shared" si="11"/>
        <v>715.79935</v>
      </c>
      <c r="F321" s="306"/>
      <c r="G321" s="306"/>
      <c r="H321" s="306"/>
      <c r="I321" s="306" t="s">
        <v>9</v>
      </c>
      <c r="J321" s="307"/>
      <c r="K321" s="308" t="s">
        <v>69</v>
      </c>
      <c r="L321" s="309"/>
      <c r="M321" s="306" t="s">
        <v>9</v>
      </c>
      <c r="N321" s="306"/>
      <c r="O321" s="306"/>
      <c r="P321" s="310"/>
      <c r="Q321" s="391"/>
      <c r="R321" s="403" t="s">
        <v>176</v>
      </c>
    </row>
    <row r="322" spans="1:18" x14ac:dyDescent="0.35">
      <c r="A322" s="813"/>
      <c r="B322" s="751"/>
      <c r="C322" s="474">
        <v>291</v>
      </c>
      <c r="D322" s="28">
        <v>69.599999999999994</v>
      </c>
      <c r="E322" s="29">
        <f t="shared" si="11"/>
        <v>749.16743999999994</v>
      </c>
      <c r="F322" s="306"/>
      <c r="G322" s="306"/>
      <c r="H322" s="306"/>
      <c r="I322" s="306" t="s">
        <v>9</v>
      </c>
      <c r="J322" s="307"/>
      <c r="K322" s="308" t="s">
        <v>69</v>
      </c>
      <c r="L322" s="309"/>
      <c r="M322" s="306" t="s">
        <v>9</v>
      </c>
      <c r="N322" s="306"/>
      <c r="O322" s="306"/>
      <c r="P322" s="310"/>
      <c r="Q322" s="391"/>
      <c r="R322" s="403" t="s">
        <v>176</v>
      </c>
    </row>
    <row r="323" spans="1:18" x14ac:dyDescent="0.35">
      <c r="A323" s="813"/>
      <c r="B323" s="751"/>
      <c r="C323" s="474">
        <v>292</v>
      </c>
      <c r="D323" s="28">
        <v>59.4</v>
      </c>
      <c r="E323" s="29">
        <f t="shared" si="11"/>
        <v>639.37565999999993</v>
      </c>
      <c r="F323" s="306"/>
      <c r="G323" s="306"/>
      <c r="H323" s="306"/>
      <c r="I323" s="306"/>
      <c r="J323" s="307" t="s">
        <v>9</v>
      </c>
      <c r="K323" s="308" t="s">
        <v>68</v>
      </c>
      <c r="L323" s="309" t="s">
        <v>9</v>
      </c>
      <c r="M323" s="306"/>
      <c r="N323" s="306"/>
      <c r="O323" s="306"/>
      <c r="P323" s="310"/>
      <c r="Q323" s="391"/>
      <c r="R323" s="404" t="s">
        <v>174</v>
      </c>
    </row>
    <row r="324" spans="1:18" x14ac:dyDescent="0.35">
      <c r="A324" s="813"/>
      <c r="B324" s="751"/>
      <c r="C324" s="474">
        <v>293</v>
      </c>
      <c r="D324" s="28">
        <v>59.4</v>
      </c>
      <c r="E324" s="29">
        <f t="shared" si="11"/>
        <v>639.37565999999993</v>
      </c>
      <c r="F324" s="306"/>
      <c r="G324" s="306"/>
      <c r="H324" s="306"/>
      <c r="I324" s="306"/>
      <c r="J324" s="307" t="s">
        <v>9</v>
      </c>
      <c r="K324" s="308" t="s">
        <v>68</v>
      </c>
      <c r="L324" s="309" t="s">
        <v>9</v>
      </c>
      <c r="M324" s="306"/>
      <c r="N324" s="306"/>
      <c r="O324" s="306"/>
      <c r="P324" s="310"/>
      <c r="Q324" s="392"/>
      <c r="R324" s="404" t="s">
        <v>174</v>
      </c>
    </row>
    <row r="325" spans="1:18" x14ac:dyDescent="0.35">
      <c r="A325" s="813"/>
      <c r="B325" s="751"/>
      <c r="C325" s="474">
        <v>294</v>
      </c>
      <c r="D325" s="28">
        <v>66.5</v>
      </c>
      <c r="E325" s="29">
        <f t="shared" si="11"/>
        <v>715.79935</v>
      </c>
      <c r="F325" s="306"/>
      <c r="G325" s="306"/>
      <c r="H325" s="306"/>
      <c r="I325" s="306" t="s">
        <v>9</v>
      </c>
      <c r="J325" s="307"/>
      <c r="K325" s="308" t="s">
        <v>69</v>
      </c>
      <c r="L325" s="309"/>
      <c r="M325" s="306" t="s">
        <v>9</v>
      </c>
      <c r="N325" s="306"/>
      <c r="O325" s="306"/>
      <c r="P325" s="310"/>
      <c r="Q325" s="393"/>
      <c r="R325" s="403" t="s">
        <v>176</v>
      </c>
    </row>
    <row r="326" spans="1:18" x14ac:dyDescent="0.35">
      <c r="A326" s="813"/>
      <c r="B326" s="751"/>
      <c r="C326" s="474">
        <v>295</v>
      </c>
      <c r="D326" s="28">
        <v>69.599999999999994</v>
      </c>
      <c r="E326" s="29">
        <f t="shared" si="11"/>
        <v>749.16743999999994</v>
      </c>
      <c r="F326" s="306"/>
      <c r="G326" s="306"/>
      <c r="H326" s="306"/>
      <c r="I326" s="306" t="s">
        <v>9</v>
      </c>
      <c r="J326" s="307"/>
      <c r="K326" s="308" t="s">
        <v>69</v>
      </c>
      <c r="L326" s="309"/>
      <c r="M326" s="306" t="s">
        <v>9</v>
      </c>
      <c r="N326" s="306"/>
      <c r="O326" s="306"/>
      <c r="P326" s="310"/>
      <c r="Q326" s="391"/>
      <c r="R326" s="403" t="s">
        <v>176</v>
      </c>
    </row>
    <row r="327" spans="1:18" x14ac:dyDescent="0.35">
      <c r="A327" s="813"/>
      <c r="B327" s="751"/>
      <c r="C327" s="474">
        <v>296</v>
      </c>
      <c r="D327" s="28">
        <v>59.4</v>
      </c>
      <c r="E327" s="29">
        <f t="shared" si="11"/>
        <v>639.37565999999993</v>
      </c>
      <c r="F327" s="306"/>
      <c r="G327" s="306"/>
      <c r="H327" s="306"/>
      <c r="I327" s="306"/>
      <c r="J327" s="307" t="s">
        <v>9</v>
      </c>
      <c r="K327" s="308" t="s">
        <v>68</v>
      </c>
      <c r="L327" s="309" t="s">
        <v>9</v>
      </c>
      <c r="M327" s="306"/>
      <c r="N327" s="306"/>
      <c r="O327" s="306"/>
      <c r="P327" s="310"/>
      <c r="Q327" s="393"/>
      <c r="R327" s="404" t="s">
        <v>174</v>
      </c>
    </row>
    <row r="328" spans="1:18" x14ac:dyDescent="0.35">
      <c r="A328" s="813"/>
      <c r="B328" s="752"/>
      <c r="C328" s="474">
        <v>297</v>
      </c>
      <c r="D328" s="28">
        <v>59.4</v>
      </c>
      <c r="E328" s="29">
        <f t="shared" si="11"/>
        <v>639.37565999999993</v>
      </c>
      <c r="F328" s="306"/>
      <c r="G328" s="306"/>
      <c r="H328" s="306" t="s">
        <v>9</v>
      </c>
      <c r="I328" s="306"/>
      <c r="J328" s="307"/>
      <c r="K328" s="308" t="s">
        <v>68</v>
      </c>
      <c r="L328" s="309" t="s">
        <v>9</v>
      </c>
      <c r="M328" s="306"/>
      <c r="N328" s="306"/>
      <c r="O328" s="306"/>
      <c r="P328" s="310"/>
      <c r="Q328" s="391"/>
      <c r="R328" s="404" t="s">
        <v>174</v>
      </c>
    </row>
    <row r="329" spans="1:18" x14ac:dyDescent="0.35">
      <c r="A329" s="813"/>
      <c r="B329" s="750" t="s">
        <v>133</v>
      </c>
      <c r="C329" s="474">
        <v>298</v>
      </c>
      <c r="D329" s="28">
        <v>40.1</v>
      </c>
      <c r="E329" s="29">
        <f t="shared" si="11"/>
        <v>431.63238999999999</v>
      </c>
      <c r="F329" s="306"/>
      <c r="G329" s="306"/>
      <c r="H329" s="306" t="s">
        <v>9</v>
      </c>
      <c r="I329" s="306"/>
      <c r="J329" s="307"/>
      <c r="K329" s="308" t="s">
        <v>169</v>
      </c>
      <c r="L329" s="309" t="s">
        <v>9</v>
      </c>
      <c r="M329" s="306"/>
      <c r="N329" s="306"/>
      <c r="O329" s="306"/>
      <c r="P329" s="310"/>
      <c r="Q329" s="391"/>
      <c r="R329" s="404" t="s">
        <v>174</v>
      </c>
    </row>
    <row r="330" spans="1:18" x14ac:dyDescent="0.35">
      <c r="A330" s="813"/>
      <c r="B330" s="751"/>
      <c r="C330" s="636">
        <v>299</v>
      </c>
      <c r="D330" s="638">
        <v>103.4</v>
      </c>
      <c r="E330" s="640">
        <f t="shared" si="11"/>
        <v>1112.9872600000001</v>
      </c>
      <c r="F330" s="632" t="s">
        <v>9</v>
      </c>
      <c r="G330" s="630"/>
      <c r="H330" s="630"/>
      <c r="I330" s="630"/>
      <c r="J330" s="662"/>
      <c r="K330" s="308" t="s">
        <v>66</v>
      </c>
      <c r="L330" s="664"/>
      <c r="M330" s="630"/>
      <c r="N330" s="632" t="s">
        <v>9</v>
      </c>
      <c r="O330" s="632"/>
      <c r="P330" s="642"/>
      <c r="Q330" s="644"/>
      <c r="R330" s="646" t="s">
        <v>177</v>
      </c>
    </row>
    <row r="331" spans="1:18" x14ac:dyDescent="0.35">
      <c r="A331" s="813"/>
      <c r="B331" s="751"/>
      <c r="C331" s="637"/>
      <c r="D331" s="639"/>
      <c r="E331" s="641"/>
      <c r="F331" s="633"/>
      <c r="G331" s="631"/>
      <c r="H331" s="631"/>
      <c r="I331" s="631"/>
      <c r="J331" s="663"/>
      <c r="K331" s="308" t="s">
        <v>67</v>
      </c>
      <c r="L331" s="665"/>
      <c r="M331" s="631"/>
      <c r="N331" s="633"/>
      <c r="O331" s="633"/>
      <c r="P331" s="643"/>
      <c r="Q331" s="652"/>
      <c r="R331" s="647"/>
    </row>
    <row r="332" spans="1:18" x14ac:dyDescent="0.35">
      <c r="A332" s="813"/>
      <c r="B332" s="751"/>
      <c r="C332" s="636">
        <v>300</v>
      </c>
      <c r="D332" s="638">
        <v>103.4</v>
      </c>
      <c r="E332" s="640">
        <f t="shared" si="11"/>
        <v>1112.9872600000001</v>
      </c>
      <c r="F332" s="632" t="s">
        <v>9</v>
      </c>
      <c r="G332" s="630"/>
      <c r="H332" s="630"/>
      <c r="I332" s="630"/>
      <c r="J332" s="662"/>
      <c r="K332" s="308" t="s">
        <v>66</v>
      </c>
      <c r="L332" s="664"/>
      <c r="M332" s="630"/>
      <c r="N332" s="632" t="s">
        <v>9</v>
      </c>
      <c r="O332" s="632"/>
      <c r="P332" s="642"/>
      <c r="Q332" s="644"/>
      <c r="R332" s="646" t="s">
        <v>177</v>
      </c>
    </row>
    <row r="333" spans="1:18" x14ac:dyDescent="0.35">
      <c r="A333" s="813"/>
      <c r="B333" s="751"/>
      <c r="C333" s="637"/>
      <c r="D333" s="639"/>
      <c r="E333" s="641"/>
      <c r="F333" s="633"/>
      <c r="G333" s="631"/>
      <c r="H333" s="631"/>
      <c r="I333" s="631"/>
      <c r="J333" s="663"/>
      <c r="K333" s="308" t="s">
        <v>67</v>
      </c>
      <c r="L333" s="665"/>
      <c r="M333" s="631"/>
      <c r="N333" s="633"/>
      <c r="O333" s="633"/>
      <c r="P333" s="643"/>
      <c r="Q333" s="645"/>
      <c r="R333" s="647"/>
    </row>
    <row r="334" spans="1:18" x14ac:dyDescent="0.35">
      <c r="A334" s="813"/>
      <c r="B334" s="751"/>
      <c r="C334" s="636">
        <v>301</v>
      </c>
      <c r="D334" s="638">
        <v>103.4</v>
      </c>
      <c r="E334" s="640">
        <f t="shared" si="11"/>
        <v>1112.9872600000001</v>
      </c>
      <c r="F334" s="632" t="s">
        <v>9</v>
      </c>
      <c r="G334" s="630"/>
      <c r="H334" s="630"/>
      <c r="I334" s="630"/>
      <c r="J334" s="662"/>
      <c r="K334" s="308" t="s">
        <v>66</v>
      </c>
      <c r="L334" s="664"/>
      <c r="M334" s="630"/>
      <c r="N334" s="632" t="s">
        <v>9</v>
      </c>
      <c r="O334" s="632"/>
      <c r="P334" s="642"/>
      <c r="Q334" s="645"/>
      <c r="R334" s="646" t="s">
        <v>177</v>
      </c>
    </row>
    <row r="335" spans="1:18" x14ac:dyDescent="0.35">
      <c r="A335" s="813"/>
      <c r="B335" s="751"/>
      <c r="C335" s="637"/>
      <c r="D335" s="639"/>
      <c r="E335" s="641"/>
      <c r="F335" s="633"/>
      <c r="G335" s="631"/>
      <c r="H335" s="631"/>
      <c r="I335" s="631"/>
      <c r="J335" s="663"/>
      <c r="K335" s="308" t="s">
        <v>67</v>
      </c>
      <c r="L335" s="665"/>
      <c r="M335" s="631"/>
      <c r="N335" s="633"/>
      <c r="O335" s="633"/>
      <c r="P335" s="643"/>
      <c r="Q335" s="652"/>
      <c r="R335" s="647"/>
    </row>
    <row r="336" spans="1:18" x14ac:dyDescent="0.35">
      <c r="A336" s="813"/>
      <c r="B336" s="751"/>
      <c r="C336" s="474">
        <v>302</v>
      </c>
      <c r="D336" s="28">
        <v>84.7</v>
      </c>
      <c r="E336" s="29">
        <f t="shared" si="11"/>
        <v>911.70232999999996</v>
      </c>
      <c r="F336" s="306"/>
      <c r="G336" s="306"/>
      <c r="H336" s="306"/>
      <c r="I336" s="306"/>
      <c r="J336" s="307" t="s">
        <v>9</v>
      </c>
      <c r="K336" s="308" t="s">
        <v>69</v>
      </c>
      <c r="L336" s="309"/>
      <c r="M336" s="306"/>
      <c r="N336" s="306" t="s">
        <v>9</v>
      </c>
      <c r="O336" s="306"/>
      <c r="P336" s="310"/>
      <c r="Q336" s="391"/>
      <c r="R336" s="404" t="s">
        <v>174</v>
      </c>
    </row>
    <row r="337" spans="1:19" x14ac:dyDescent="0.35">
      <c r="A337" s="813"/>
      <c r="B337" s="751"/>
      <c r="C337" s="474">
        <v>303</v>
      </c>
      <c r="D337" s="28">
        <v>84.7</v>
      </c>
      <c r="E337" s="29">
        <f t="shared" si="11"/>
        <v>911.70232999999996</v>
      </c>
      <c r="F337" s="306"/>
      <c r="G337" s="306"/>
      <c r="H337" s="306"/>
      <c r="I337" s="306"/>
      <c r="J337" s="307" t="s">
        <v>9</v>
      </c>
      <c r="K337" s="308" t="s">
        <v>185</v>
      </c>
      <c r="L337" s="309"/>
      <c r="M337" s="306"/>
      <c r="N337" s="306" t="s">
        <v>9</v>
      </c>
      <c r="O337" s="306"/>
      <c r="P337" s="310"/>
      <c r="Q337" s="393"/>
      <c r="R337" s="404" t="s">
        <v>174</v>
      </c>
    </row>
    <row r="338" spans="1:19" x14ac:dyDescent="0.35">
      <c r="A338" s="813"/>
      <c r="B338" s="751"/>
      <c r="C338" s="474">
        <v>304</v>
      </c>
      <c r="D338" s="28">
        <v>54.1</v>
      </c>
      <c r="E338" s="29">
        <f t="shared" si="11"/>
        <v>582.32699000000002</v>
      </c>
      <c r="F338" s="306"/>
      <c r="G338" s="306"/>
      <c r="H338" s="306"/>
      <c r="I338" s="306"/>
      <c r="J338" s="307" t="s">
        <v>9</v>
      </c>
      <c r="K338" s="308" t="s">
        <v>69</v>
      </c>
      <c r="L338" s="309" t="s">
        <v>9</v>
      </c>
      <c r="M338" s="306"/>
      <c r="N338" s="306"/>
      <c r="O338" s="306"/>
      <c r="P338" s="310"/>
      <c r="Q338" s="391"/>
      <c r="R338" s="404" t="s">
        <v>174</v>
      </c>
    </row>
    <row r="339" spans="1:19" x14ac:dyDescent="0.35">
      <c r="A339" s="813"/>
      <c r="B339" s="751"/>
      <c r="C339" s="474">
        <v>305</v>
      </c>
      <c r="D339" s="28">
        <v>54.1</v>
      </c>
      <c r="E339" s="29">
        <f t="shared" si="11"/>
        <v>582.32699000000002</v>
      </c>
      <c r="F339" s="306"/>
      <c r="G339" s="306"/>
      <c r="H339" s="306"/>
      <c r="I339" s="306"/>
      <c r="J339" s="307" t="s">
        <v>9</v>
      </c>
      <c r="K339" s="308" t="s">
        <v>66</v>
      </c>
      <c r="L339" s="309" t="s">
        <v>9</v>
      </c>
      <c r="M339" s="306"/>
      <c r="N339" s="306"/>
      <c r="O339" s="306"/>
      <c r="P339" s="310"/>
      <c r="Q339" s="391"/>
      <c r="R339" s="404" t="s">
        <v>174</v>
      </c>
    </row>
    <row r="340" spans="1:19" x14ac:dyDescent="0.35">
      <c r="A340" s="813"/>
      <c r="B340" s="751"/>
      <c r="C340" s="474">
        <v>306</v>
      </c>
      <c r="D340" s="28">
        <v>65.5</v>
      </c>
      <c r="E340" s="29">
        <f>SUM(D340*10.7639)</f>
        <v>705.03544999999997</v>
      </c>
      <c r="F340" s="306"/>
      <c r="G340" s="306"/>
      <c r="H340" s="306"/>
      <c r="I340" s="306"/>
      <c r="J340" s="307" t="s">
        <v>9</v>
      </c>
      <c r="K340" s="308" t="s">
        <v>185</v>
      </c>
      <c r="L340" s="309" t="s">
        <v>9</v>
      </c>
      <c r="M340" s="306"/>
      <c r="N340" s="306"/>
      <c r="O340" s="306"/>
      <c r="P340" s="310"/>
      <c r="Q340" s="391"/>
      <c r="R340" s="404" t="s">
        <v>174</v>
      </c>
    </row>
    <row r="341" spans="1:19" x14ac:dyDescent="0.35">
      <c r="A341" s="813"/>
      <c r="B341" s="751"/>
      <c r="C341" s="474">
        <v>307</v>
      </c>
      <c r="D341" s="28">
        <v>89.5</v>
      </c>
      <c r="E341" s="29">
        <f t="shared" ref="E341:E353" si="12">SUM(D341*10.7639)</f>
        <v>963.36905000000002</v>
      </c>
      <c r="F341" s="306"/>
      <c r="G341" s="306"/>
      <c r="H341" s="306" t="s">
        <v>9</v>
      </c>
      <c r="I341" s="306"/>
      <c r="J341" s="307"/>
      <c r="K341" s="308" t="s">
        <v>169</v>
      </c>
      <c r="L341" s="309"/>
      <c r="M341" s="306"/>
      <c r="N341" s="306" t="s">
        <v>9</v>
      </c>
      <c r="O341" s="306"/>
      <c r="P341" s="310"/>
      <c r="Q341" s="391"/>
      <c r="R341" s="403" t="s">
        <v>176</v>
      </c>
    </row>
    <row r="342" spans="1:19" x14ac:dyDescent="0.35">
      <c r="A342" s="813"/>
      <c r="B342" s="751"/>
      <c r="C342" s="636">
        <v>308</v>
      </c>
      <c r="D342" s="638">
        <v>103.4</v>
      </c>
      <c r="E342" s="640">
        <f t="shared" si="12"/>
        <v>1112.9872600000001</v>
      </c>
      <c r="F342" s="632" t="s">
        <v>9</v>
      </c>
      <c r="G342" s="630"/>
      <c r="H342" s="630"/>
      <c r="I342" s="630"/>
      <c r="J342" s="662"/>
      <c r="K342" s="308" t="s">
        <v>66</v>
      </c>
      <c r="L342" s="664"/>
      <c r="M342" s="630"/>
      <c r="N342" s="632" t="s">
        <v>9</v>
      </c>
      <c r="O342" s="632"/>
      <c r="P342" s="642"/>
      <c r="Q342" s="644"/>
      <c r="R342" s="646" t="s">
        <v>177</v>
      </c>
    </row>
    <row r="343" spans="1:19" x14ac:dyDescent="0.35">
      <c r="A343" s="813"/>
      <c r="B343" s="751"/>
      <c r="C343" s="637"/>
      <c r="D343" s="639"/>
      <c r="E343" s="641"/>
      <c r="F343" s="633"/>
      <c r="G343" s="631"/>
      <c r="H343" s="631"/>
      <c r="I343" s="631"/>
      <c r="J343" s="663"/>
      <c r="K343" s="308" t="s">
        <v>67</v>
      </c>
      <c r="L343" s="665"/>
      <c r="M343" s="631"/>
      <c r="N343" s="633"/>
      <c r="O343" s="633"/>
      <c r="P343" s="643"/>
      <c r="Q343" s="645"/>
      <c r="R343" s="647"/>
    </row>
    <row r="344" spans="1:19" x14ac:dyDescent="0.35">
      <c r="A344" s="813"/>
      <c r="B344" s="751"/>
      <c r="C344" s="636">
        <v>309</v>
      </c>
      <c r="D344" s="638">
        <v>103.4</v>
      </c>
      <c r="E344" s="640">
        <f t="shared" si="12"/>
        <v>1112.9872600000001</v>
      </c>
      <c r="F344" s="632" t="s">
        <v>9</v>
      </c>
      <c r="G344" s="630"/>
      <c r="H344" s="630"/>
      <c r="I344" s="630"/>
      <c r="J344" s="662"/>
      <c r="K344" s="308" t="s">
        <v>66</v>
      </c>
      <c r="L344" s="664"/>
      <c r="M344" s="630"/>
      <c r="N344" s="632" t="s">
        <v>9</v>
      </c>
      <c r="O344" s="632"/>
      <c r="P344" s="642"/>
      <c r="Q344" s="645"/>
      <c r="R344" s="646" t="s">
        <v>177</v>
      </c>
    </row>
    <row r="345" spans="1:19" x14ac:dyDescent="0.35">
      <c r="A345" s="813"/>
      <c r="B345" s="751"/>
      <c r="C345" s="637"/>
      <c r="D345" s="639"/>
      <c r="E345" s="641"/>
      <c r="F345" s="633"/>
      <c r="G345" s="631"/>
      <c r="H345" s="631"/>
      <c r="I345" s="631"/>
      <c r="J345" s="663"/>
      <c r="K345" s="308" t="s">
        <v>67</v>
      </c>
      <c r="L345" s="665"/>
      <c r="M345" s="631"/>
      <c r="N345" s="633"/>
      <c r="O345" s="633"/>
      <c r="P345" s="643"/>
      <c r="Q345" s="652"/>
      <c r="R345" s="647"/>
    </row>
    <row r="346" spans="1:19" x14ac:dyDescent="0.35">
      <c r="A346" s="813"/>
      <c r="B346" s="751"/>
      <c r="C346" s="636">
        <v>310</v>
      </c>
      <c r="D346" s="638">
        <v>103.4</v>
      </c>
      <c r="E346" s="640">
        <f t="shared" si="12"/>
        <v>1112.9872600000001</v>
      </c>
      <c r="F346" s="632" t="s">
        <v>9</v>
      </c>
      <c r="G346" s="630"/>
      <c r="H346" s="630"/>
      <c r="I346" s="660"/>
      <c r="J346" s="662"/>
      <c r="K346" s="308" t="s">
        <v>66</v>
      </c>
      <c r="L346" s="664"/>
      <c r="M346" s="630"/>
      <c r="N346" s="632" t="s">
        <v>9</v>
      </c>
      <c r="O346" s="632"/>
      <c r="P346" s="642"/>
      <c r="Q346" s="644"/>
      <c r="R346" s="646" t="s">
        <v>177</v>
      </c>
    </row>
    <row r="347" spans="1:19" x14ac:dyDescent="0.35">
      <c r="A347" s="813"/>
      <c r="B347" s="751"/>
      <c r="C347" s="637"/>
      <c r="D347" s="639"/>
      <c r="E347" s="641"/>
      <c r="F347" s="633"/>
      <c r="G347" s="631"/>
      <c r="H347" s="631"/>
      <c r="I347" s="661"/>
      <c r="J347" s="663"/>
      <c r="K347" s="308" t="s">
        <v>67</v>
      </c>
      <c r="L347" s="665"/>
      <c r="M347" s="631"/>
      <c r="N347" s="633"/>
      <c r="O347" s="633"/>
      <c r="P347" s="643"/>
      <c r="Q347" s="652"/>
      <c r="R347" s="647"/>
    </row>
    <row r="348" spans="1:19" x14ac:dyDescent="0.35">
      <c r="A348" s="813"/>
      <c r="B348" s="751"/>
      <c r="C348" s="552">
        <v>311</v>
      </c>
      <c r="D348" s="28">
        <v>40.1</v>
      </c>
      <c r="E348" s="29">
        <f t="shared" si="12"/>
        <v>431.63238999999999</v>
      </c>
      <c r="F348" s="306"/>
      <c r="G348" s="306"/>
      <c r="H348" s="554" t="s">
        <v>9</v>
      </c>
      <c r="I348" s="306"/>
      <c r="J348" s="307"/>
      <c r="K348" s="308" t="s">
        <v>67</v>
      </c>
      <c r="L348" s="309" t="s">
        <v>9</v>
      </c>
      <c r="M348" s="306"/>
      <c r="N348" s="306"/>
      <c r="O348" s="306"/>
      <c r="P348" s="310"/>
      <c r="Q348" s="391"/>
      <c r="R348" s="404" t="s">
        <v>174</v>
      </c>
      <c r="S348" s="2" t="s">
        <v>9</v>
      </c>
    </row>
    <row r="349" spans="1:19" x14ac:dyDescent="0.35">
      <c r="A349" s="813"/>
      <c r="B349" s="751"/>
      <c r="C349" s="552">
        <v>312</v>
      </c>
      <c r="D349" s="28">
        <v>42</v>
      </c>
      <c r="E349" s="29">
        <f t="shared" si="12"/>
        <v>452.0838</v>
      </c>
      <c r="F349" s="306"/>
      <c r="G349" s="306"/>
      <c r="H349" s="554" t="s">
        <v>9</v>
      </c>
      <c r="I349" s="306"/>
      <c r="J349" s="307"/>
      <c r="K349" s="308" t="s">
        <v>68</v>
      </c>
      <c r="L349" s="309" t="s">
        <v>9</v>
      </c>
      <c r="M349" s="306"/>
      <c r="N349" s="306"/>
      <c r="O349" s="306"/>
      <c r="P349" s="310"/>
      <c r="Q349" s="391"/>
      <c r="R349" s="404" t="s">
        <v>174</v>
      </c>
      <c r="S349" s="2" t="s">
        <v>9</v>
      </c>
    </row>
    <row r="350" spans="1:19" x14ac:dyDescent="0.35">
      <c r="A350" s="813"/>
      <c r="B350" s="751"/>
      <c r="C350" s="552">
        <v>313</v>
      </c>
      <c r="D350" s="28">
        <v>42</v>
      </c>
      <c r="E350" s="29">
        <f t="shared" si="12"/>
        <v>452.0838</v>
      </c>
      <c r="F350" s="306"/>
      <c r="G350" s="306"/>
      <c r="H350" s="554" t="s">
        <v>9</v>
      </c>
      <c r="I350" s="306"/>
      <c r="J350" s="307"/>
      <c r="K350" s="308" t="s">
        <v>68</v>
      </c>
      <c r="L350" s="309" t="s">
        <v>9</v>
      </c>
      <c r="M350" s="306"/>
      <c r="N350" s="306"/>
      <c r="O350" s="306"/>
      <c r="P350" s="310"/>
      <c r="Q350" s="391"/>
      <c r="R350" s="404" t="s">
        <v>174</v>
      </c>
      <c r="S350" s="2" t="s">
        <v>9</v>
      </c>
    </row>
    <row r="351" spans="1:19" x14ac:dyDescent="0.35">
      <c r="A351" s="813"/>
      <c r="B351" s="751"/>
      <c r="C351" s="474">
        <v>314</v>
      </c>
      <c r="D351" s="28">
        <v>80.099999999999994</v>
      </c>
      <c r="E351" s="29">
        <f t="shared" si="12"/>
        <v>862.18838999999991</v>
      </c>
      <c r="F351" s="306"/>
      <c r="G351" s="306"/>
      <c r="H351" s="306" t="s">
        <v>9</v>
      </c>
      <c r="I351" s="306"/>
      <c r="J351" s="307"/>
      <c r="K351" s="308" t="s">
        <v>69</v>
      </c>
      <c r="L351" s="309"/>
      <c r="M351" s="306" t="s">
        <v>9</v>
      </c>
      <c r="N351" s="306"/>
      <c r="O351" s="306"/>
      <c r="P351" s="310"/>
      <c r="Q351" s="391"/>
      <c r="R351" s="403" t="s">
        <v>176</v>
      </c>
    </row>
    <row r="352" spans="1:19" x14ac:dyDescent="0.35">
      <c r="A352" s="813"/>
      <c r="B352" s="751"/>
      <c r="C352" s="474">
        <v>315</v>
      </c>
      <c r="D352" s="28">
        <v>80.099999999999994</v>
      </c>
      <c r="E352" s="29">
        <f t="shared" si="12"/>
        <v>862.18838999999991</v>
      </c>
      <c r="F352" s="306"/>
      <c r="G352" s="306"/>
      <c r="H352" s="306" t="s">
        <v>9</v>
      </c>
      <c r="I352" s="306"/>
      <c r="J352" s="307"/>
      <c r="K352" s="308" t="s">
        <v>69</v>
      </c>
      <c r="L352" s="309"/>
      <c r="M352" s="306" t="s">
        <v>9</v>
      </c>
      <c r="N352" s="306"/>
      <c r="O352" s="306"/>
      <c r="P352" s="389"/>
      <c r="Q352" s="388"/>
      <c r="R352" s="403" t="s">
        <v>176</v>
      </c>
    </row>
    <row r="353" spans="1:23" ht="18" thickBot="1" x14ac:dyDescent="0.4">
      <c r="A353" s="814"/>
      <c r="B353" s="768"/>
      <c r="C353" s="553">
        <v>316</v>
      </c>
      <c r="D353" s="481">
        <v>40.1</v>
      </c>
      <c r="E353" s="482">
        <f t="shared" si="12"/>
        <v>431.63238999999999</v>
      </c>
      <c r="F353" s="483"/>
      <c r="G353" s="483"/>
      <c r="H353" s="556" t="s">
        <v>9</v>
      </c>
      <c r="I353" s="483"/>
      <c r="J353" s="484"/>
      <c r="K353" s="485" t="s">
        <v>67</v>
      </c>
      <c r="L353" s="486" t="s">
        <v>9</v>
      </c>
      <c r="M353" s="483"/>
      <c r="N353" s="483"/>
      <c r="O353" s="483"/>
      <c r="P353" s="390"/>
      <c r="Q353" s="395"/>
      <c r="R353" s="404" t="s">
        <v>174</v>
      </c>
      <c r="S353" s="2" t="s">
        <v>9</v>
      </c>
      <c r="W353" s="38"/>
    </row>
    <row r="354" spans="1:23" ht="17.25" customHeight="1" x14ac:dyDescent="0.35">
      <c r="A354" s="756" t="s">
        <v>171</v>
      </c>
      <c r="B354" s="757"/>
      <c r="C354" s="334" t="s">
        <v>10</v>
      </c>
      <c r="D354" s="33">
        <v>69.25</v>
      </c>
      <c r="E354" s="34">
        <f t="shared" ref="E354:E359" si="13">SUM(D354*10.7639)</f>
        <v>745.40007500000002</v>
      </c>
      <c r="F354" s="35"/>
      <c r="G354" s="35"/>
      <c r="H354" s="35"/>
      <c r="I354" s="35"/>
      <c r="J354" s="199"/>
      <c r="K354" s="202"/>
      <c r="L354" s="37"/>
      <c r="M354" s="35"/>
      <c r="N354" s="35"/>
      <c r="O354" s="35"/>
      <c r="P354" s="36"/>
      <c r="Q354" s="396"/>
      <c r="R354" s="396"/>
    </row>
    <row r="355" spans="1:23" x14ac:dyDescent="0.35">
      <c r="A355" s="760"/>
      <c r="B355" s="761"/>
      <c r="C355" s="335" t="s">
        <v>11</v>
      </c>
      <c r="D355" s="28">
        <v>104.35</v>
      </c>
      <c r="E355" s="29">
        <f t="shared" si="13"/>
        <v>1123.2129649999999</v>
      </c>
      <c r="F355" s="6"/>
      <c r="G355" s="6"/>
      <c r="H355" s="6"/>
      <c r="I355" s="6"/>
      <c r="J355" s="198"/>
      <c r="K355" s="201"/>
      <c r="L355" s="7"/>
      <c r="M355" s="6"/>
      <c r="N355" s="6"/>
      <c r="O355" s="6"/>
      <c r="P355" s="8"/>
      <c r="Q355" s="391"/>
      <c r="R355" s="391"/>
      <c r="S355" s="38"/>
      <c r="T355" s="38"/>
      <c r="U355" s="38"/>
    </row>
    <row r="356" spans="1:23" x14ac:dyDescent="0.35">
      <c r="A356" s="760"/>
      <c r="B356" s="761"/>
      <c r="C356" s="335" t="s">
        <v>12</v>
      </c>
      <c r="D356" s="28">
        <v>75</v>
      </c>
      <c r="E356" s="29">
        <f t="shared" si="13"/>
        <v>807.29250000000002</v>
      </c>
      <c r="F356" s="6"/>
      <c r="G356" s="6"/>
      <c r="H356" s="6"/>
      <c r="I356" s="6"/>
      <c r="J356" s="198"/>
      <c r="K356" s="201"/>
      <c r="L356" s="7"/>
      <c r="M356" s="6"/>
      <c r="N356" s="6"/>
      <c r="O356" s="6"/>
      <c r="P356" s="8"/>
      <c r="Q356" s="391"/>
      <c r="R356" s="391"/>
      <c r="S356" s="38"/>
      <c r="T356" s="38"/>
      <c r="U356" s="38"/>
      <c r="V356" s="38"/>
      <c r="W356" s="38"/>
    </row>
    <row r="357" spans="1:23" x14ac:dyDescent="0.35">
      <c r="A357" s="760"/>
      <c r="B357" s="761"/>
      <c r="C357" s="335" t="s">
        <v>13</v>
      </c>
      <c r="D357" s="28">
        <v>47</v>
      </c>
      <c r="E357" s="29">
        <f t="shared" si="13"/>
        <v>505.9033</v>
      </c>
      <c r="F357" s="6"/>
      <c r="G357" s="6"/>
      <c r="H357" s="6"/>
      <c r="I357" s="6"/>
      <c r="J357" s="198"/>
      <c r="K357" s="201"/>
      <c r="L357" s="7"/>
      <c r="M357" s="6"/>
      <c r="N357" s="6"/>
      <c r="O357" s="6"/>
      <c r="P357" s="8"/>
      <c r="Q357" s="393"/>
      <c r="R357" s="393"/>
      <c r="S357" s="38"/>
    </row>
    <row r="358" spans="1:23" ht="18" thickBot="1" x14ac:dyDescent="0.4">
      <c r="A358" s="758"/>
      <c r="B358" s="759"/>
      <c r="C358" s="335" t="s">
        <v>14</v>
      </c>
      <c r="D358" s="28">
        <v>47</v>
      </c>
      <c r="E358" s="29">
        <f t="shared" si="13"/>
        <v>505.9033</v>
      </c>
      <c r="F358" s="6"/>
      <c r="G358" s="6"/>
      <c r="H358" s="6"/>
      <c r="I358" s="6"/>
      <c r="J358" s="198"/>
      <c r="K358" s="201"/>
      <c r="L358" s="7"/>
      <c r="M358" s="6"/>
      <c r="N358" s="6"/>
      <c r="O358" s="6"/>
      <c r="P358" s="8"/>
      <c r="Q358" s="394"/>
      <c r="R358" s="394"/>
    </row>
    <row r="359" spans="1:23" ht="17.25" customHeight="1" x14ac:dyDescent="0.35">
      <c r="A359" s="756" t="s">
        <v>172</v>
      </c>
      <c r="B359" s="757"/>
      <c r="C359" s="762" t="s">
        <v>15</v>
      </c>
      <c r="D359" s="764">
        <v>169.5</v>
      </c>
      <c r="E359" s="640">
        <f t="shared" si="13"/>
        <v>1824.4810499999999</v>
      </c>
      <c r="F359" s="6"/>
      <c r="G359" s="6"/>
      <c r="H359" s="6"/>
      <c r="I359" s="6"/>
      <c r="J359" s="198"/>
      <c r="K359" s="201"/>
      <c r="L359" s="7"/>
      <c r="M359" s="6"/>
      <c r="N359" s="6"/>
      <c r="O359" s="6"/>
      <c r="P359" s="8"/>
      <c r="Q359" s="394"/>
      <c r="R359" s="394"/>
    </row>
    <row r="360" spans="1:23" ht="18" thickBot="1" x14ac:dyDescent="0.4">
      <c r="A360" s="758"/>
      <c r="B360" s="759"/>
      <c r="C360" s="763"/>
      <c r="D360" s="765"/>
      <c r="E360" s="641"/>
      <c r="F360" s="6"/>
      <c r="G360" s="6"/>
      <c r="H360" s="6"/>
      <c r="I360" s="6"/>
      <c r="J360" s="198"/>
      <c r="K360" s="201"/>
      <c r="L360" s="7"/>
      <c r="M360" s="6"/>
      <c r="N360" s="6"/>
      <c r="O360" s="6"/>
      <c r="P360" s="8"/>
      <c r="Q360" s="394"/>
      <c r="R360" s="394"/>
    </row>
    <row r="361" spans="1:23" x14ac:dyDescent="0.35">
      <c r="C361" s="336" t="s">
        <v>39</v>
      </c>
      <c r="D361" s="203">
        <f>SUM(D354:D359)</f>
        <v>512.1</v>
      </c>
      <c r="E361" s="204">
        <f>SUM(E354:E359)</f>
        <v>5512.19319</v>
      </c>
      <c r="F361" s="6"/>
      <c r="G361" s="6"/>
      <c r="H361" s="6"/>
      <c r="I361" s="6"/>
      <c r="J361" s="198"/>
      <c r="K361" s="201"/>
      <c r="L361" s="7"/>
      <c r="M361" s="6"/>
      <c r="N361" s="6"/>
      <c r="O361" s="6"/>
      <c r="P361" s="8"/>
      <c r="Q361" s="394"/>
      <c r="R361" s="394"/>
    </row>
    <row r="362" spans="1:23" x14ac:dyDescent="0.35">
      <c r="C362" s="335"/>
      <c r="D362" s="20"/>
      <c r="E362" s="20"/>
      <c r="F362" s="6"/>
      <c r="G362" s="6"/>
      <c r="H362" s="6"/>
      <c r="I362" s="6"/>
      <c r="J362" s="198"/>
      <c r="K362" s="201"/>
      <c r="L362" s="7"/>
      <c r="M362" s="6"/>
      <c r="N362" s="6"/>
      <c r="O362" s="6"/>
      <c r="P362" s="8"/>
      <c r="Q362" s="394"/>
      <c r="R362" s="394"/>
    </row>
    <row r="363" spans="1:23" ht="18" thickBot="1" x14ac:dyDescent="0.4">
      <c r="C363" s="337"/>
      <c r="D363" s="338"/>
      <c r="E363" s="338"/>
      <c r="F363" s="339"/>
      <c r="G363" s="339"/>
      <c r="H363" s="339"/>
      <c r="I363" s="339"/>
      <c r="J363" s="200"/>
      <c r="K363" s="340"/>
      <c r="L363" s="7"/>
      <c r="M363" s="6"/>
      <c r="N363" s="6"/>
      <c r="O363" s="6"/>
      <c r="P363" s="8"/>
      <c r="Q363" s="397"/>
      <c r="R363" s="397"/>
    </row>
    <row r="364" spans="1:23" ht="30.75" thickBot="1" x14ac:dyDescent="0.4">
      <c r="C364" s="11" t="s">
        <v>5</v>
      </c>
      <c r="D364" s="21"/>
      <c r="E364" s="27"/>
      <c r="F364" s="12">
        <f>COUNTA(F6:F363)</f>
        <v>104</v>
      </c>
      <c r="G364" s="12">
        <f>COUNTA(G6:G363)</f>
        <v>3</v>
      </c>
      <c r="H364" s="12">
        <f>COUNTA(H6:H363)</f>
        <v>60</v>
      </c>
      <c r="I364" s="12">
        <f>COUNTA(I6:I363)</f>
        <v>28</v>
      </c>
      <c r="J364" s="12">
        <f>COUNTA(J6:J363)</f>
        <v>122</v>
      </c>
      <c r="K364" s="12">
        <f>SUM(F364:J364)</f>
        <v>317</v>
      </c>
      <c r="L364" s="16">
        <f>COUNTA(L6:L363)</f>
        <v>139</v>
      </c>
      <c r="M364" s="17">
        <f>COUNTA(M6:M363)</f>
        <v>96</v>
      </c>
      <c r="N364" s="17">
        <f>COUNTA(N6:N363)</f>
        <v>69</v>
      </c>
      <c r="O364" s="17">
        <f>COUNTA(O6:O363)</f>
        <v>13</v>
      </c>
      <c r="P364" s="18">
        <f>COUNTA(P6:P363)</f>
        <v>0</v>
      </c>
      <c r="Q364" s="68">
        <f>COUNTA(Q6:Q353)</f>
        <v>28</v>
      </c>
      <c r="R364" s="132">
        <f>COUNTA(R6:R353)</f>
        <v>317</v>
      </c>
      <c r="S364" s="2">
        <f>COUNTA(S6:S363)</f>
        <v>64</v>
      </c>
    </row>
    <row r="365" spans="1:23" ht="30.75" thickBot="1" x14ac:dyDescent="0.4">
      <c r="C365" s="318" t="s">
        <v>124</v>
      </c>
      <c r="D365" s="780">
        <f>SUM(D6:D353)</f>
        <v>22694.200000000077</v>
      </c>
      <c r="E365" s="781"/>
      <c r="F365" s="781"/>
      <c r="G365" s="781"/>
      <c r="H365" s="781"/>
      <c r="I365" s="781"/>
      <c r="J365" s="781"/>
      <c r="K365" s="782"/>
      <c r="L365" s="13">
        <f>SUM(1/L366*L364)</f>
        <v>0.43848580441640378</v>
      </c>
      <c r="M365" s="14">
        <f>SUM(1/L366*M364)</f>
        <v>0.30283911671924291</v>
      </c>
      <c r="N365" s="14">
        <f>SUM(1/L366*N364)</f>
        <v>0.21766561514195584</v>
      </c>
      <c r="O365" s="14">
        <f>SUM(1/L366*O364)</f>
        <v>4.1009463722397478E-2</v>
      </c>
      <c r="P365" s="15">
        <f>SUM(1/L366*P364)</f>
        <v>0</v>
      </c>
      <c r="Q365" s="401">
        <f>SUM(1/L366*Q364)</f>
        <v>8.8328075709779172E-2</v>
      </c>
      <c r="R365" s="401"/>
    </row>
    <row r="366" spans="1:23" ht="60.75" thickBot="1" x14ac:dyDescent="0.4">
      <c r="C366" s="317" t="s">
        <v>125</v>
      </c>
      <c r="D366" s="777">
        <f>SUM(D6:D359)</f>
        <v>23206.300000000076</v>
      </c>
      <c r="E366" s="778"/>
      <c r="F366" s="778"/>
      <c r="G366" s="778"/>
      <c r="H366" s="778"/>
      <c r="I366" s="778"/>
      <c r="J366" s="778"/>
      <c r="K366" s="779"/>
      <c r="L366" s="740">
        <f>SUM(L364:P364)</f>
        <v>317</v>
      </c>
      <c r="M366" s="741"/>
      <c r="N366" s="741"/>
      <c r="O366" s="741"/>
      <c r="P366" s="742"/>
      <c r="Q366" s="399"/>
      <c r="R366" s="399"/>
    </row>
    <row r="367" spans="1:23" ht="60.75" thickBot="1" x14ac:dyDescent="0.4">
      <c r="C367" s="319" t="s">
        <v>126</v>
      </c>
      <c r="D367" s="774">
        <f>SUM(D366*10.7639)</f>
        <v>249790.29257000081</v>
      </c>
      <c r="E367" s="775"/>
      <c r="F367" s="775"/>
      <c r="G367" s="775"/>
      <c r="H367" s="775"/>
      <c r="I367" s="775"/>
      <c r="J367" s="775"/>
      <c r="K367" s="776"/>
      <c r="L367" s="743"/>
      <c r="M367" s="744"/>
      <c r="N367" s="744"/>
      <c r="O367" s="744"/>
      <c r="P367" s="745"/>
      <c r="Q367" s="400"/>
      <c r="R367" s="400"/>
    </row>
    <row r="368" spans="1:23" x14ac:dyDescent="0.35">
      <c r="Q368" s="387"/>
    </row>
    <row r="369" spans="1:17" x14ac:dyDescent="0.35">
      <c r="A369" s="31" t="s">
        <v>28</v>
      </c>
      <c r="B369" s="322"/>
      <c r="C369" s="31"/>
      <c r="D369" s="31"/>
      <c r="E369" s="32"/>
      <c r="F369" s="32"/>
      <c r="G369" s="32"/>
      <c r="H369" s="32"/>
      <c r="I369" s="32"/>
      <c r="J369" s="32"/>
      <c r="K369" s="31"/>
      <c r="L369" s="32"/>
      <c r="M369" s="32"/>
      <c r="N369" s="32"/>
      <c r="O369" s="32"/>
      <c r="P369" s="32"/>
      <c r="Q369" s="32"/>
    </row>
    <row r="370" spans="1:17" ht="29.25" customHeight="1" x14ac:dyDescent="0.3">
      <c r="A370" s="785" t="s">
        <v>95</v>
      </c>
      <c r="B370" s="785"/>
      <c r="C370" s="827"/>
      <c r="D370" s="299" t="s">
        <v>32</v>
      </c>
      <c r="E370" s="244" t="s">
        <v>33</v>
      </c>
      <c r="F370" s="754" t="s">
        <v>34</v>
      </c>
      <c r="G370" s="754"/>
      <c r="H370" s="754"/>
      <c r="I370" s="755" t="s">
        <v>35</v>
      </c>
      <c r="J370" s="755"/>
      <c r="K370" s="301" t="s">
        <v>93</v>
      </c>
      <c r="L370" s="128" t="s">
        <v>100</v>
      </c>
      <c r="M370" s="300" t="s">
        <v>43</v>
      </c>
      <c r="O370" s="754" t="s">
        <v>36</v>
      </c>
      <c r="P370" s="772"/>
      <c r="Q370" s="300" t="s">
        <v>40</v>
      </c>
    </row>
    <row r="371" spans="1:17" x14ac:dyDescent="0.35">
      <c r="A371" s="700" t="s">
        <v>96</v>
      </c>
      <c r="B371" s="738"/>
      <c r="C371" s="769"/>
      <c r="D371" s="128">
        <v>0</v>
      </c>
      <c r="E371" s="302">
        <v>34.6</v>
      </c>
      <c r="F371" s="753">
        <v>0</v>
      </c>
      <c r="G371" s="753"/>
      <c r="H371" s="753"/>
      <c r="I371" s="753">
        <v>0</v>
      </c>
      <c r="J371" s="753"/>
      <c r="K371" s="93">
        <v>43.5</v>
      </c>
      <c r="L371" s="297">
        <f t="shared" ref="L371:L378" si="14">SUM(D371:K371)</f>
        <v>78.099999999999994</v>
      </c>
      <c r="M371" s="303">
        <f>SUM(L371*10.7639)</f>
        <v>840.66058999999996</v>
      </c>
      <c r="O371" s="753">
        <v>140</v>
      </c>
      <c r="P371" s="773"/>
      <c r="Q371" s="128">
        <v>0</v>
      </c>
    </row>
    <row r="372" spans="1:17" x14ac:dyDescent="0.35">
      <c r="A372" s="648" t="s">
        <v>21</v>
      </c>
      <c r="B372" s="734"/>
      <c r="C372" s="651"/>
      <c r="D372" s="128">
        <v>0</v>
      </c>
      <c r="E372" s="128">
        <v>14.6</v>
      </c>
      <c r="F372" s="733">
        <v>0</v>
      </c>
      <c r="G372" s="733"/>
      <c r="H372" s="733"/>
      <c r="I372" s="733">
        <v>0</v>
      </c>
      <c r="J372" s="733"/>
      <c r="K372" s="93">
        <v>40</v>
      </c>
      <c r="L372" s="246">
        <f t="shared" si="14"/>
        <v>54.6</v>
      </c>
      <c r="M372" s="303">
        <f t="shared" ref="M372:M378" si="15">SUM(L372*10.7639)</f>
        <v>587.70893999999998</v>
      </c>
      <c r="O372" s="733">
        <v>110.2</v>
      </c>
      <c r="P372" s="770"/>
      <c r="Q372" s="128">
        <v>11.4</v>
      </c>
    </row>
    <row r="373" spans="1:17" x14ac:dyDescent="0.35">
      <c r="A373" s="648" t="s">
        <v>22</v>
      </c>
      <c r="B373" s="734"/>
      <c r="C373" s="651"/>
      <c r="D373" s="128">
        <v>43.9</v>
      </c>
      <c r="E373" s="128">
        <v>12.1</v>
      </c>
      <c r="F373" s="733">
        <v>52.5</v>
      </c>
      <c r="G373" s="733"/>
      <c r="H373" s="733"/>
      <c r="I373" s="733">
        <v>0</v>
      </c>
      <c r="J373" s="733"/>
      <c r="K373" s="93">
        <v>38.9</v>
      </c>
      <c r="L373" s="246">
        <f t="shared" si="14"/>
        <v>147.4</v>
      </c>
      <c r="M373" s="303">
        <f t="shared" si="15"/>
        <v>1586.5988600000001</v>
      </c>
      <c r="O373" s="733">
        <v>59.9</v>
      </c>
      <c r="P373" s="770"/>
      <c r="Q373" s="128">
        <v>9.8000000000000007</v>
      </c>
    </row>
    <row r="374" spans="1:17" x14ac:dyDescent="0.35">
      <c r="A374" s="648" t="s">
        <v>23</v>
      </c>
      <c r="B374" s="734"/>
      <c r="C374" s="734"/>
      <c r="D374" s="298">
        <v>127.8</v>
      </c>
      <c r="E374" s="128">
        <v>14.8</v>
      </c>
      <c r="F374" s="733">
        <v>40.200000000000003</v>
      </c>
      <c r="G374" s="733"/>
      <c r="H374" s="733"/>
      <c r="I374" s="733">
        <v>0</v>
      </c>
      <c r="J374" s="733"/>
      <c r="K374" s="93">
        <v>20</v>
      </c>
      <c r="L374" s="246">
        <f t="shared" si="14"/>
        <v>202.8</v>
      </c>
      <c r="M374" s="303">
        <f t="shared" si="15"/>
        <v>2182.9189200000001</v>
      </c>
      <c r="O374" s="733">
        <v>119</v>
      </c>
      <c r="P374" s="770"/>
      <c r="Q374" s="128">
        <v>0</v>
      </c>
    </row>
    <row r="375" spans="1:17" x14ac:dyDescent="0.35">
      <c r="A375" s="648" t="s">
        <v>94</v>
      </c>
      <c r="B375" s="734"/>
      <c r="C375" s="651"/>
      <c r="D375" s="128">
        <v>0</v>
      </c>
      <c r="E375" s="128">
        <v>44.3</v>
      </c>
      <c r="F375" s="733">
        <v>11.9</v>
      </c>
      <c r="G375" s="733"/>
      <c r="H375" s="733"/>
      <c r="I375" s="733">
        <v>55.25</v>
      </c>
      <c r="J375" s="733"/>
      <c r="K375" s="93">
        <v>65.3</v>
      </c>
      <c r="L375" s="246">
        <f t="shared" si="14"/>
        <v>176.75</v>
      </c>
      <c r="M375" s="303">
        <f t="shared" si="15"/>
        <v>1902.519325</v>
      </c>
      <c r="O375" s="733">
        <v>380.3</v>
      </c>
      <c r="P375" s="770"/>
      <c r="Q375" s="128">
        <v>38.5</v>
      </c>
    </row>
    <row r="376" spans="1:17" x14ac:dyDescent="0.35">
      <c r="A376" s="648" t="s">
        <v>25</v>
      </c>
      <c r="B376" s="734"/>
      <c r="C376" s="651"/>
      <c r="D376" s="128">
        <v>0</v>
      </c>
      <c r="E376" s="128">
        <v>44.3</v>
      </c>
      <c r="F376" s="733">
        <v>32</v>
      </c>
      <c r="G376" s="733"/>
      <c r="H376" s="733"/>
      <c r="I376" s="733">
        <v>1345.7</v>
      </c>
      <c r="J376" s="733"/>
      <c r="K376" s="93">
        <v>24.1</v>
      </c>
      <c r="L376" s="246">
        <f t="shared" si="14"/>
        <v>1446.1</v>
      </c>
      <c r="M376" s="303">
        <f t="shared" si="15"/>
        <v>15565.675789999998</v>
      </c>
      <c r="O376" s="733">
        <v>40.6</v>
      </c>
      <c r="P376" s="770"/>
      <c r="Q376" s="128">
        <v>210.5</v>
      </c>
    </row>
    <row r="377" spans="1:17" x14ac:dyDescent="0.35">
      <c r="A377" s="648" t="s">
        <v>26</v>
      </c>
      <c r="B377" s="734"/>
      <c r="C377" s="734"/>
      <c r="D377" s="298">
        <v>0</v>
      </c>
      <c r="E377" s="128">
        <v>0</v>
      </c>
      <c r="F377" s="733">
        <v>0</v>
      </c>
      <c r="G377" s="733"/>
      <c r="H377" s="733"/>
      <c r="I377" s="733">
        <v>219.4</v>
      </c>
      <c r="J377" s="733"/>
      <c r="K377" s="93">
        <v>7.8</v>
      </c>
      <c r="L377" s="246">
        <f t="shared" si="14"/>
        <v>227.20000000000002</v>
      </c>
      <c r="M377" s="303">
        <f t="shared" si="15"/>
        <v>2445.5580800000002</v>
      </c>
      <c r="O377" s="733">
        <v>97.5</v>
      </c>
      <c r="P377" s="770"/>
      <c r="Q377" s="128">
        <v>61.1</v>
      </c>
    </row>
    <row r="378" spans="1:17" x14ac:dyDescent="0.35">
      <c r="A378" s="807" t="s">
        <v>27</v>
      </c>
      <c r="B378" s="808"/>
      <c r="C378" s="809"/>
      <c r="D378" s="186">
        <v>0</v>
      </c>
      <c r="E378" s="186">
        <v>89.8</v>
      </c>
      <c r="F378" s="736">
        <v>0</v>
      </c>
      <c r="G378" s="736"/>
      <c r="H378" s="736"/>
      <c r="I378" s="736">
        <v>485.5</v>
      </c>
      <c r="J378" s="736"/>
      <c r="K378" s="187">
        <v>42</v>
      </c>
      <c r="L378" s="246">
        <f t="shared" si="14"/>
        <v>617.29999999999995</v>
      </c>
      <c r="M378" s="304">
        <f t="shared" si="15"/>
        <v>6644.5554699999993</v>
      </c>
      <c r="O378" s="736">
        <v>129.19999999999999</v>
      </c>
      <c r="P378" s="771"/>
      <c r="Q378" s="186">
        <v>83.8</v>
      </c>
    </row>
    <row r="379" spans="1:17" x14ac:dyDescent="0.35">
      <c r="A379" s="810" t="s">
        <v>37</v>
      </c>
      <c r="B379" s="811"/>
      <c r="C379" s="812"/>
      <c r="D379" s="246">
        <f>SUM(D371:D378)</f>
        <v>171.7</v>
      </c>
      <c r="E379" s="246">
        <f>SUM(E371:E378)</f>
        <v>254.5</v>
      </c>
      <c r="F379" s="738">
        <f t="shared" ref="F379:L379" si="16">SUM(F371:F378)</f>
        <v>136.60000000000002</v>
      </c>
      <c r="G379" s="738"/>
      <c r="H379" s="738"/>
      <c r="I379" s="738">
        <f t="shared" si="16"/>
        <v>2105.8500000000004</v>
      </c>
      <c r="J379" s="738"/>
      <c r="K379" s="121">
        <f t="shared" si="16"/>
        <v>281.60000000000002</v>
      </c>
      <c r="L379" s="296">
        <f t="shared" si="16"/>
        <v>2950.25</v>
      </c>
      <c r="M379" s="305">
        <f>SUM(M371:M378)</f>
        <v>31756.195974999995</v>
      </c>
      <c r="O379" s="738">
        <f>SUM(O371:O378)</f>
        <v>1076.7</v>
      </c>
      <c r="P379" s="769"/>
      <c r="Q379" s="30">
        <f>SUM(Q371:Q378)</f>
        <v>415.1</v>
      </c>
    </row>
    <row r="380" spans="1:17" x14ac:dyDescent="0.35">
      <c r="K380" s="2"/>
      <c r="O380" s="247" t="s">
        <v>100</v>
      </c>
      <c r="P380" s="734">
        <f>SUM(O379:Q379)</f>
        <v>1491.8000000000002</v>
      </c>
      <c r="Q380" s="734"/>
    </row>
    <row r="381" spans="1:17" x14ac:dyDescent="0.35">
      <c r="A381" s="247" t="s">
        <v>97</v>
      </c>
      <c r="B381" s="247"/>
      <c r="C381" s="30"/>
      <c r="K381" s="2"/>
      <c r="O381" s="247" t="s">
        <v>119</v>
      </c>
      <c r="P381" s="739">
        <f>SUM(P380*10.7639)</f>
        <v>16057.586020000001</v>
      </c>
      <c r="Q381" s="739"/>
    </row>
    <row r="382" spans="1:17" x14ac:dyDescent="0.35">
      <c r="A382" s="30" t="s">
        <v>98</v>
      </c>
      <c r="C382" s="30">
        <v>8</v>
      </c>
      <c r="K382" s="2"/>
    </row>
    <row r="383" spans="1:17" x14ac:dyDescent="0.35">
      <c r="A383" s="30"/>
      <c r="C383" s="30"/>
      <c r="K383" s="2"/>
    </row>
    <row r="384" spans="1:17" x14ac:dyDescent="0.35">
      <c r="A384" s="30"/>
      <c r="C384" s="30"/>
      <c r="K384" s="2"/>
    </row>
    <row r="385" spans="1:19" x14ac:dyDescent="0.35">
      <c r="K385" s="2"/>
    </row>
    <row r="386" spans="1:19" ht="18" thickBot="1" x14ac:dyDescent="0.4">
      <c r="A386" s="629" t="s">
        <v>123</v>
      </c>
      <c r="B386" s="629"/>
      <c r="C386" s="629"/>
      <c r="D386" s="629"/>
      <c r="E386" s="629"/>
      <c r="F386" s="247"/>
      <c r="G386" s="247"/>
      <c r="H386" s="247"/>
      <c r="J386" s="247"/>
      <c r="K386" s="247"/>
      <c r="L386" s="247"/>
      <c r="M386" s="247"/>
      <c r="N386" s="247"/>
      <c r="O386" s="247"/>
    </row>
    <row r="387" spans="1:19" ht="27.75" customHeight="1" thickTop="1" x14ac:dyDescent="0.3">
      <c r="A387" s="835" t="s">
        <v>95</v>
      </c>
      <c r="B387" s="835"/>
      <c r="C387" s="837"/>
      <c r="D387" s="270" t="s">
        <v>4</v>
      </c>
      <c r="E387" s="271" t="s">
        <v>19</v>
      </c>
      <c r="F387" s="279"/>
      <c r="G387" s="279"/>
      <c r="H387" s="279"/>
      <c r="J387" s="278"/>
      <c r="K387" s="278"/>
      <c r="L387" s="278"/>
      <c r="M387" s="278"/>
      <c r="N387" s="128"/>
      <c r="O387" s="128"/>
    </row>
    <row r="388" spans="1:19" x14ac:dyDescent="0.35">
      <c r="A388" s="738" t="s">
        <v>96</v>
      </c>
      <c r="B388" s="738"/>
      <c r="C388" s="769"/>
      <c r="D388" s="272">
        <v>30.4</v>
      </c>
      <c r="E388" s="275">
        <f t="shared" ref="E388:E395" si="17">SUM(D388*10.674)</f>
        <v>324.4896</v>
      </c>
      <c r="F388" s="128"/>
      <c r="G388" s="128"/>
      <c r="H388" s="278"/>
      <c r="I388" s="30"/>
      <c r="J388" s="30"/>
      <c r="L388" s="128"/>
      <c r="M388" s="280"/>
      <c r="N388" s="128"/>
      <c r="O388" s="128"/>
    </row>
    <row r="389" spans="1:19" x14ac:dyDescent="0.35">
      <c r="A389" s="766" t="s">
        <v>21</v>
      </c>
      <c r="B389" s="766"/>
      <c r="C389" s="767"/>
      <c r="D389" s="264">
        <v>24.6</v>
      </c>
      <c r="E389" s="276">
        <f t="shared" si="17"/>
        <v>262.5804</v>
      </c>
      <c r="F389" s="128"/>
      <c r="G389" s="128"/>
      <c r="H389" s="128"/>
      <c r="I389" s="30"/>
      <c r="J389" s="30"/>
      <c r="L389" s="246"/>
      <c r="M389" s="281"/>
      <c r="N389" s="246"/>
      <c r="O389" s="246"/>
    </row>
    <row r="390" spans="1:19" x14ac:dyDescent="0.35">
      <c r="A390" s="766" t="s">
        <v>22</v>
      </c>
      <c r="B390" s="766"/>
      <c r="C390" s="767"/>
      <c r="D390" s="273">
        <v>0</v>
      </c>
      <c r="E390" s="282">
        <f t="shared" si="17"/>
        <v>0</v>
      </c>
      <c r="F390" s="246"/>
      <c r="G390" s="246"/>
      <c r="H390" s="246"/>
      <c r="I390" s="30"/>
      <c r="J390" s="30"/>
      <c r="L390" s="246"/>
      <c r="M390" s="246"/>
      <c r="N390" s="246"/>
      <c r="O390" s="246"/>
    </row>
    <row r="391" spans="1:19" x14ac:dyDescent="0.35">
      <c r="A391" s="766" t="s">
        <v>23</v>
      </c>
      <c r="B391" s="766"/>
      <c r="C391" s="767"/>
      <c r="D391" s="273">
        <v>0</v>
      </c>
      <c r="E391" s="282">
        <f t="shared" si="17"/>
        <v>0</v>
      </c>
      <c r="F391" s="246"/>
      <c r="G391" s="246"/>
      <c r="H391" s="246"/>
      <c r="I391" s="30"/>
      <c r="J391" s="30"/>
      <c r="L391" s="246"/>
      <c r="M391" s="246"/>
      <c r="N391" s="246"/>
      <c r="O391" s="246"/>
    </row>
    <row r="392" spans="1:19" x14ac:dyDescent="0.35">
      <c r="A392" s="766" t="s">
        <v>94</v>
      </c>
      <c r="B392" s="766"/>
      <c r="C392" s="767"/>
      <c r="D392" s="273">
        <v>154.69999999999999</v>
      </c>
      <c r="E392" s="282">
        <f t="shared" si="17"/>
        <v>1651.2677999999999</v>
      </c>
      <c r="F392" s="246"/>
      <c r="G392" s="246"/>
      <c r="H392" s="246"/>
      <c r="I392" s="30"/>
      <c r="J392" s="30"/>
      <c r="L392" s="246"/>
      <c r="M392" s="246"/>
      <c r="N392" s="246"/>
      <c r="O392" s="246"/>
    </row>
    <row r="393" spans="1:19" x14ac:dyDescent="0.35">
      <c r="A393" s="766" t="s">
        <v>25</v>
      </c>
      <c r="B393" s="766"/>
      <c r="C393" s="767"/>
      <c r="D393" s="264">
        <v>0</v>
      </c>
      <c r="E393" s="282">
        <f t="shared" si="17"/>
        <v>0</v>
      </c>
      <c r="F393" s="246"/>
      <c r="G393" s="246"/>
      <c r="H393" s="246"/>
      <c r="I393" s="30"/>
      <c r="J393" s="30"/>
      <c r="L393" s="246"/>
      <c r="M393" s="246"/>
      <c r="N393" s="246"/>
      <c r="O393" s="246"/>
    </row>
    <row r="394" spans="1:19" x14ac:dyDescent="0.35">
      <c r="A394" s="766" t="s">
        <v>26</v>
      </c>
      <c r="B394" s="766"/>
      <c r="C394" s="767"/>
      <c r="D394" s="273">
        <v>56</v>
      </c>
      <c r="E394" s="282">
        <f t="shared" si="17"/>
        <v>597.74399999999991</v>
      </c>
      <c r="F394" s="246"/>
      <c r="G394" s="246"/>
      <c r="H394" s="246"/>
      <c r="I394" s="30"/>
      <c r="J394" s="30"/>
      <c r="L394" s="246"/>
      <c r="M394" s="246"/>
      <c r="N394" s="246"/>
      <c r="O394" s="246"/>
    </row>
    <row r="395" spans="1:19" x14ac:dyDescent="0.35">
      <c r="A395" s="825" t="s">
        <v>27</v>
      </c>
      <c r="B395" s="825"/>
      <c r="C395" s="826"/>
      <c r="D395" s="274">
        <v>193.5</v>
      </c>
      <c r="E395" s="283">
        <f t="shared" si="17"/>
        <v>2065.4189999999999</v>
      </c>
      <c r="F395" s="246"/>
      <c r="G395" s="246"/>
      <c r="H395" s="246"/>
      <c r="I395" s="30"/>
      <c r="J395" s="30"/>
      <c r="L395" s="246"/>
      <c r="M395" s="246"/>
      <c r="N395" s="246"/>
      <c r="O395" s="246"/>
    </row>
    <row r="396" spans="1:19" x14ac:dyDescent="0.35">
      <c r="A396" s="795" t="s">
        <v>55</v>
      </c>
      <c r="B396" s="795"/>
      <c r="C396" s="796"/>
      <c r="D396" s="264">
        <f>SUM(D388:D395)</f>
        <v>459.2</v>
      </c>
      <c r="E396" s="276">
        <f>SUM(E388:E395)</f>
        <v>4901.5007999999998</v>
      </c>
      <c r="F396" s="246"/>
      <c r="G396" s="246"/>
      <c r="H396" s="246"/>
      <c r="I396" s="30"/>
      <c r="J396" s="277"/>
      <c r="K396" s="277"/>
      <c r="L396" s="246"/>
      <c r="M396" s="281"/>
      <c r="N396" s="246"/>
      <c r="O396" s="246"/>
    </row>
    <row r="397" spans="1:19" x14ac:dyDescent="0.35">
      <c r="A397" s="277"/>
      <c r="B397" s="277"/>
      <c r="C397" s="277"/>
      <c r="D397" s="246"/>
      <c r="E397" s="246"/>
      <c r="F397" s="246"/>
      <c r="G397" s="246"/>
      <c r="H397" s="246"/>
      <c r="I397" s="30"/>
    </row>
    <row r="398" spans="1:19" ht="16.5" x14ac:dyDescent="0.3">
      <c r="A398" s="244"/>
      <c r="B398" s="244"/>
      <c r="C398" s="244"/>
      <c r="K398" s="2"/>
    </row>
    <row r="399" spans="1:19" ht="16.5" x14ac:dyDescent="0.3">
      <c r="A399" s="244"/>
      <c r="B399" s="244"/>
      <c r="C399" s="244"/>
      <c r="K399" s="2"/>
    </row>
    <row r="400" spans="1:19" ht="17.25" customHeight="1" thickBot="1" x14ac:dyDescent="0.4">
      <c r="O400" s="346"/>
      <c r="P400" s="346"/>
      <c r="Q400" s="346"/>
      <c r="R400" s="346"/>
      <c r="S400" s="346"/>
    </row>
    <row r="401" spans="1:22" ht="18" customHeight="1" thickBot="1" x14ac:dyDescent="0.4">
      <c r="A401" s="838" t="s">
        <v>101</v>
      </c>
      <c r="B401" s="838"/>
      <c r="C401" s="838"/>
      <c r="D401" s="838"/>
      <c r="E401" s="838"/>
      <c r="F401" s="838"/>
      <c r="G401" s="838"/>
      <c r="H401" s="838"/>
      <c r="I401" s="260"/>
      <c r="J401" s="260"/>
      <c r="K401" s="245"/>
      <c r="N401" s="344"/>
      <c r="O401" s="653" t="s">
        <v>147</v>
      </c>
      <c r="P401" s="730"/>
      <c r="Q401" s="730"/>
      <c r="R401" s="730"/>
      <c r="S401" s="656"/>
      <c r="T401" s="321"/>
      <c r="U401" s="321"/>
      <c r="V401" s="321"/>
    </row>
    <row r="402" spans="1:22" ht="45.75" thickTop="1" x14ac:dyDescent="0.35">
      <c r="A402" s="736" t="s">
        <v>95</v>
      </c>
      <c r="B402" s="736"/>
      <c r="C402" s="771"/>
      <c r="D402" s="248" t="s">
        <v>102</v>
      </c>
      <c r="E402" s="371" t="s">
        <v>148</v>
      </c>
      <c r="F402" s="834" t="s">
        <v>103</v>
      </c>
      <c r="G402" s="835"/>
      <c r="H402" s="836"/>
      <c r="I402" s="287" t="s">
        <v>113</v>
      </c>
      <c r="J402" s="288" t="s">
        <v>114</v>
      </c>
      <c r="K402" s="284" t="s">
        <v>115</v>
      </c>
      <c r="L402" s="186" t="s">
        <v>112</v>
      </c>
      <c r="M402" s="186" t="s">
        <v>111</v>
      </c>
      <c r="N402" s="344"/>
      <c r="O402" s="342"/>
      <c r="P402" s="343" t="s">
        <v>143</v>
      </c>
      <c r="Q402" s="350" t="s">
        <v>144</v>
      </c>
      <c r="R402" s="351" t="s">
        <v>141</v>
      </c>
      <c r="S402" s="347" t="s">
        <v>142</v>
      </c>
      <c r="T402" s="321"/>
      <c r="U402" s="321"/>
      <c r="V402" s="321"/>
    </row>
    <row r="403" spans="1:22" ht="17.25" customHeight="1" x14ac:dyDescent="0.35">
      <c r="A403" s="738" t="s">
        <v>96</v>
      </c>
      <c r="B403" s="738"/>
      <c r="C403" s="769"/>
      <c r="D403" s="249">
        <v>48</v>
      </c>
      <c r="E403" s="249">
        <v>0</v>
      </c>
      <c r="F403" s="700">
        <v>0</v>
      </c>
      <c r="G403" s="738"/>
      <c r="H403" s="701"/>
      <c r="I403" s="289">
        <f>SUM('Block By Block SoA'!I6+'Block By Block SoA'!I7)</f>
        <v>2</v>
      </c>
      <c r="J403" s="290" cm="1">
        <f t="array" ref="J403">SUM('Block By Block SoA'!J6:M6+'Block By Block SoA'!J7:M7)</f>
        <v>23</v>
      </c>
      <c r="K403" s="285">
        <f>SUM((J403*2)+I403)</f>
        <v>48</v>
      </c>
      <c r="L403" s="256" t="str">
        <f t="shared" ref="L403:L410" si="18">IF(D403&gt;K403,"Higher","Lower")</f>
        <v>Lower</v>
      </c>
      <c r="M403" s="30">
        <f t="shared" ref="M403:M410" si="19">SUM(D403-K403)</f>
        <v>0</v>
      </c>
      <c r="N403" s="344"/>
      <c r="O403" s="786" t="s">
        <v>136</v>
      </c>
      <c r="P403" s="359" t="s">
        <v>29</v>
      </c>
      <c r="Q403" s="360">
        <f>SUM(X7:Z7)</f>
        <v>139</v>
      </c>
      <c r="R403" s="361">
        <v>0.75</v>
      </c>
      <c r="S403" s="362">
        <f>SUM(Q403*R403)</f>
        <v>104.25</v>
      </c>
      <c r="T403" s="321"/>
      <c r="U403" s="321"/>
      <c r="V403" s="321"/>
    </row>
    <row r="404" spans="1:22" x14ac:dyDescent="0.35">
      <c r="A404" s="648" t="s">
        <v>21</v>
      </c>
      <c r="B404" s="734"/>
      <c r="C404" s="651"/>
      <c r="D404" s="50">
        <v>16</v>
      </c>
      <c r="E404" s="50">
        <v>0</v>
      </c>
      <c r="F404" s="648">
        <v>0</v>
      </c>
      <c r="G404" s="734"/>
      <c r="H404" s="649"/>
      <c r="I404" s="291">
        <f>SUM('Block By Block SoA'!I8)</f>
        <v>1</v>
      </c>
      <c r="J404" s="290">
        <f>SUM('Block By Block SoA'!J8:M8)</f>
        <v>16</v>
      </c>
      <c r="K404" s="285">
        <f t="shared" ref="K404:K410" si="20">SUM((J404*2)+I404)</f>
        <v>33</v>
      </c>
      <c r="L404" s="256" t="str">
        <f t="shared" si="18"/>
        <v>Lower</v>
      </c>
      <c r="M404" s="30">
        <f t="shared" si="19"/>
        <v>-17</v>
      </c>
      <c r="N404" s="344"/>
      <c r="O404" s="786"/>
      <c r="P404" s="363" t="s">
        <v>30</v>
      </c>
      <c r="Q404" s="364">
        <f>SUM(X8:Z8)</f>
        <v>49</v>
      </c>
      <c r="R404" s="365">
        <v>1</v>
      </c>
      <c r="S404" s="366">
        <f>SUM(Q404*R404)</f>
        <v>49</v>
      </c>
      <c r="T404" s="321"/>
      <c r="U404" s="321"/>
      <c r="V404" s="321"/>
    </row>
    <row r="405" spans="1:22" x14ac:dyDescent="0.35">
      <c r="A405" s="648" t="s">
        <v>22</v>
      </c>
      <c r="B405" s="734"/>
      <c r="C405" s="651"/>
      <c r="D405" s="50">
        <v>23</v>
      </c>
      <c r="E405" s="50">
        <v>2</v>
      </c>
      <c r="F405" s="648">
        <v>2</v>
      </c>
      <c r="G405" s="734"/>
      <c r="H405" s="649"/>
      <c r="I405" s="291">
        <f>SUM('Block By Block SoA'!I14)</f>
        <v>0</v>
      </c>
      <c r="J405" s="290">
        <f>SUM('Block By Block SoA'!J14:M14)</f>
        <v>27</v>
      </c>
      <c r="K405" s="285">
        <f t="shared" si="20"/>
        <v>54</v>
      </c>
      <c r="L405" s="256" t="str">
        <f t="shared" si="18"/>
        <v>Lower</v>
      </c>
      <c r="M405" s="30">
        <f t="shared" si="19"/>
        <v>-31</v>
      </c>
      <c r="N405" s="345"/>
      <c r="O405" s="787"/>
      <c r="P405" s="352" t="s">
        <v>139</v>
      </c>
      <c r="Q405" s="352">
        <f>SUM(X9:Z9)</f>
        <v>22</v>
      </c>
      <c r="R405" s="284">
        <v>2</v>
      </c>
      <c r="S405" s="353">
        <f>SUM(Q405*R405)</f>
        <v>44</v>
      </c>
      <c r="T405" s="321"/>
      <c r="U405" s="321"/>
      <c r="V405" s="321"/>
    </row>
    <row r="406" spans="1:22" ht="18" thickBot="1" x14ac:dyDescent="0.4">
      <c r="A406" s="648" t="s">
        <v>23</v>
      </c>
      <c r="B406" s="734"/>
      <c r="C406" s="734"/>
      <c r="D406" s="50">
        <v>26</v>
      </c>
      <c r="E406" s="50">
        <v>9</v>
      </c>
      <c r="F406" s="648">
        <v>6</v>
      </c>
      <c r="G406" s="734"/>
      <c r="H406" s="649"/>
      <c r="I406" s="291">
        <f>COUNTA(L102:L129)</f>
        <v>0</v>
      </c>
      <c r="J406" s="290">
        <f>COUNTA(M100:O129)</f>
        <v>20</v>
      </c>
      <c r="K406" s="285">
        <f t="shared" si="20"/>
        <v>40</v>
      </c>
      <c r="L406" s="256" t="str">
        <f t="shared" si="18"/>
        <v>Lower</v>
      </c>
      <c r="M406" s="30">
        <f t="shared" si="19"/>
        <v>-14</v>
      </c>
      <c r="N406" s="345"/>
      <c r="O406" s="789" t="s">
        <v>140</v>
      </c>
      <c r="P406" s="790"/>
      <c r="Q406" s="357" cm="1">
        <f t="array" ref="Q406">SUM(Q403:Q405/5)</f>
        <v>42</v>
      </c>
      <c r="R406" s="358">
        <v>1</v>
      </c>
      <c r="S406" s="349">
        <f>Q406</f>
        <v>42</v>
      </c>
      <c r="T406" s="321"/>
      <c r="U406" s="321"/>
      <c r="V406" s="321"/>
    </row>
    <row r="407" spans="1:22" x14ac:dyDescent="0.35">
      <c r="A407" s="648" t="s">
        <v>94</v>
      </c>
      <c r="B407" s="734"/>
      <c r="C407" s="651"/>
      <c r="D407" s="50">
        <v>48</v>
      </c>
      <c r="E407" s="50">
        <v>11</v>
      </c>
      <c r="F407" s="648">
        <v>0</v>
      </c>
      <c r="G407" s="734"/>
      <c r="H407" s="649"/>
      <c r="I407" s="291">
        <f>SUM('Block By Block SoA'!I9+'Block By Block SoA'!I11)</f>
        <v>13</v>
      </c>
      <c r="J407" s="290" cm="1">
        <f t="array" ref="J407">SUM('Block By Block SoA'!J11:M11+'Block By Block SoA'!J9:M9)</f>
        <v>50</v>
      </c>
      <c r="K407" s="285">
        <f t="shared" si="20"/>
        <v>113</v>
      </c>
      <c r="L407" s="256" t="str">
        <f t="shared" si="18"/>
        <v>Lower</v>
      </c>
      <c r="M407" s="30">
        <f t="shared" si="19"/>
        <v>-65</v>
      </c>
      <c r="N407" s="345"/>
      <c r="O407" s="786" t="s">
        <v>138</v>
      </c>
      <c r="P407" s="367" t="s">
        <v>29</v>
      </c>
      <c r="Q407" s="368">
        <f>SUM(V7)</f>
        <v>0</v>
      </c>
      <c r="R407" s="369">
        <v>1</v>
      </c>
      <c r="S407" s="370">
        <f>SUM(Q407*R407)</f>
        <v>0</v>
      </c>
      <c r="T407" s="321"/>
      <c r="U407" s="321"/>
      <c r="V407" s="321"/>
    </row>
    <row r="408" spans="1:22" x14ac:dyDescent="0.35">
      <c r="A408" s="648" t="s">
        <v>25</v>
      </c>
      <c r="B408" s="734"/>
      <c r="C408" s="651"/>
      <c r="D408" s="50">
        <v>26</v>
      </c>
      <c r="E408" s="50">
        <v>26</v>
      </c>
      <c r="F408" s="648">
        <v>0</v>
      </c>
      <c r="G408" s="734"/>
      <c r="H408" s="649"/>
      <c r="I408" s="291">
        <f>SUM('Block By Block SoA'!I10)</f>
        <v>69</v>
      </c>
      <c r="J408" s="290">
        <f>SUM('Block By Block SoA'!J10:M10)</f>
        <v>13</v>
      </c>
      <c r="K408" s="285">
        <f t="shared" si="20"/>
        <v>95</v>
      </c>
      <c r="L408" s="256" t="str">
        <f t="shared" si="18"/>
        <v>Lower</v>
      </c>
      <c r="M408" s="30">
        <f t="shared" si="19"/>
        <v>-69</v>
      </c>
      <c r="N408" s="345"/>
      <c r="O408" s="786"/>
      <c r="P408" s="363" t="s">
        <v>30</v>
      </c>
      <c r="Q408" s="364">
        <f>SUM(V8)</f>
        <v>44</v>
      </c>
      <c r="R408" s="365">
        <v>1</v>
      </c>
      <c r="S408" s="366">
        <f>SUM(Q408*R408)</f>
        <v>44</v>
      </c>
      <c r="T408" s="321"/>
      <c r="U408" s="321"/>
      <c r="V408" s="321"/>
    </row>
    <row r="409" spans="1:22" x14ac:dyDescent="0.35">
      <c r="A409" s="648" t="s">
        <v>26</v>
      </c>
      <c r="B409" s="734"/>
      <c r="C409" s="734"/>
      <c r="D409" s="50">
        <v>0</v>
      </c>
      <c r="E409" s="50">
        <v>4</v>
      </c>
      <c r="F409" s="648">
        <v>0</v>
      </c>
      <c r="G409" s="734"/>
      <c r="H409" s="649"/>
      <c r="I409" s="291">
        <f>'Block By Block SoA'!I12</f>
        <v>14</v>
      </c>
      <c r="J409" s="290">
        <f>COUNTA(M130:O139,M178:O193)</f>
        <v>16</v>
      </c>
      <c r="K409" s="285">
        <f t="shared" si="20"/>
        <v>46</v>
      </c>
      <c r="L409" s="256" t="str">
        <f t="shared" si="18"/>
        <v>Lower</v>
      </c>
      <c r="M409" s="30">
        <f t="shared" si="19"/>
        <v>-46</v>
      </c>
      <c r="N409" s="345"/>
      <c r="O409" s="786"/>
      <c r="P409" s="363" t="s">
        <v>31</v>
      </c>
      <c r="Q409" s="364">
        <f>SUM(V9)</f>
        <v>47</v>
      </c>
      <c r="R409" s="365">
        <v>2</v>
      </c>
      <c r="S409" s="366">
        <f>SUM(Q409*R409)</f>
        <v>94</v>
      </c>
      <c r="T409" s="321"/>
      <c r="U409" s="321"/>
      <c r="V409" s="321"/>
    </row>
    <row r="410" spans="1:22" ht="18" thickBot="1" x14ac:dyDescent="0.4">
      <c r="A410" s="807" t="s">
        <v>27</v>
      </c>
      <c r="B410" s="808"/>
      <c r="C410" s="809"/>
      <c r="D410" s="250">
        <v>124</v>
      </c>
      <c r="E410" s="248">
        <v>20</v>
      </c>
      <c r="F410" s="735">
        <v>0</v>
      </c>
      <c r="G410" s="736"/>
      <c r="H410" s="737"/>
      <c r="I410" s="292">
        <f>SUM('Block By Block SoA'!I13)</f>
        <v>40</v>
      </c>
      <c r="J410" s="293">
        <f>SUM('Block By Block SoA'!J13:M13)</f>
        <v>13</v>
      </c>
      <c r="K410" s="284">
        <f t="shared" si="20"/>
        <v>66</v>
      </c>
      <c r="L410" s="294" t="str">
        <f t="shared" si="18"/>
        <v>Higher</v>
      </c>
      <c r="M410" s="261">
        <f t="shared" si="19"/>
        <v>58</v>
      </c>
      <c r="N410" s="344"/>
      <c r="O410" s="788"/>
      <c r="P410" s="354" t="s">
        <v>65</v>
      </c>
      <c r="Q410" s="354">
        <f>SUM(V10)</f>
        <v>13</v>
      </c>
      <c r="R410" s="355">
        <v>2</v>
      </c>
      <c r="S410" s="356">
        <f>SUM(Q410*R410)</f>
        <v>26</v>
      </c>
      <c r="T410" s="321"/>
      <c r="U410" s="321"/>
      <c r="V410" s="321"/>
    </row>
    <row r="411" spans="1:22" ht="39" customHeight="1" x14ac:dyDescent="0.35">
      <c r="A411" s="795" t="s">
        <v>106</v>
      </c>
      <c r="B411" s="795"/>
      <c r="C411" s="796"/>
      <c r="D411" s="254">
        <f>SUM(D403:D410)</f>
        <v>311</v>
      </c>
      <c r="E411" s="773">
        <f>SUM(E403:E410)</f>
        <v>72</v>
      </c>
      <c r="F411" s="802">
        <f>SUM(F403:H410)</f>
        <v>8</v>
      </c>
      <c r="G411" s="753"/>
      <c r="H411" s="803"/>
      <c r="I411" s="830">
        <f>SUM(I403:I410)</f>
        <v>139</v>
      </c>
      <c r="J411" s="832">
        <f>SUM(J403:J410)</f>
        <v>178</v>
      </c>
      <c r="K411" s="828">
        <f>SUM(K403:K410)</f>
        <v>495</v>
      </c>
      <c r="L411" s="262" t="s">
        <v>118</v>
      </c>
      <c r="M411" s="256">
        <f>SUM(M403:M410)</f>
        <v>-184</v>
      </c>
      <c r="N411" s="344"/>
      <c r="O411" s="754" t="s">
        <v>145</v>
      </c>
      <c r="P411" s="754"/>
      <c r="Q411" s="754"/>
      <c r="R411" s="772"/>
      <c r="S411" s="348">
        <f>SUM(S403:S405,S407:S410)</f>
        <v>361.25</v>
      </c>
      <c r="U411" s="321"/>
      <c r="V411" s="321"/>
    </row>
    <row r="412" spans="1:22" ht="24.75" customHeight="1" thickBot="1" x14ac:dyDescent="0.35">
      <c r="A412" s="823" t="s">
        <v>107</v>
      </c>
      <c r="B412" s="823"/>
      <c r="C412" s="824"/>
      <c r="D412" s="253">
        <v>184</v>
      </c>
      <c r="E412" s="801"/>
      <c r="F412" s="804"/>
      <c r="G412" s="805"/>
      <c r="H412" s="806"/>
      <c r="I412" s="831"/>
      <c r="J412" s="833"/>
      <c r="K412" s="829"/>
      <c r="L412" s="818" t="s">
        <v>117</v>
      </c>
      <c r="M412" s="733">
        <f>SUM(M411+D412)</f>
        <v>0</v>
      </c>
      <c r="N412" s="344"/>
      <c r="O412" s="791" t="s">
        <v>146</v>
      </c>
      <c r="P412" s="792"/>
      <c r="Q412" s="792"/>
      <c r="R412" s="792"/>
      <c r="S412" s="731">
        <f>SUM(S403:S410)</f>
        <v>403.25</v>
      </c>
    </row>
    <row r="413" spans="1:22" ht="16.5" customHeight="1" thickBot="1" x14ac:dyDescent="0.4">
      <c r="A413" s="822" t="s">
        <v>105</v>
      </c>
      <c r="B413" s="820"/>
      <c r="C413" s="820"/>
      <c r="D413" s="252">
        <f>SUM(D411+D412)</f>
        <v>495</v>
      </c>
      <c r="E413" s="251" t="s">
        <v>104</v>
      </c>
      <c r="F413" s="819">
        <f>SUM(E411:H411)</f>
        <v>80</v>
      </c>
      <c r="G413" s="820"/>
      <c r="H413" s="821"/>
      <c r="I413" s="295" t="s">
        <v>116</v>
      </c>
      <c r="J413" s="286" cm="1">
        <f t="array" ref="J413">SUM(J403:J410+I403:I410)</f>
        <v>317</v>
      </c>
      <c r="K413" s="829"/>
      <c r="L413" s="818"/>
      <c r="M413" s="733"/>
      <c r="N413" s="344"/>
      <c r="O413" s="758"/>
      <c r="P413" s="793"/>
      <c r="Q413" s="793"/>
      <c r="R413" s="793"/>
      <c r="S413" s="732"/>
    </row>
    <row r="414" spans="1:22" ht="16.5" customHeight="1" x14ac:dyDescent="0.35"/>
    <row r="415" spans="1:22" ht="16.5" customHeight="1" x14ac:dyDescent="0.35">
      <c r="A415" s="798" t="s">
        <v>108</v>
      </c>
      <c r="B415" s="798"/>
      <c r="C415" s="798"/>
      <c r="D415" s="256" cm="1">
        <f t="array" ref="D415">SUM(M364:O364*2)+L364</f>
        <v>495</v>
      </c>
      <c r="O415" s="321" t="s">
        <v>137</v>
      </c>
    </row>
    <row r="416" spans="1:22" ht="16.5" customHeight="1" x14ac:dyDescent="0.35">
      <c r="A416" s="797" t="s">
        <v>109</v>
      </c>
      <c r="B416" s="797"/>
      <c r="C416" s="797"/>
      <c r="D416" s="797"/>
    </row>
    <row r="417" spans="1:18" ht="16.5" customHeight="1" x14ac:dyDescent="0.35">
      <c r="K417" s="2"/>
    </row>
    <row r="418" spans="1:18" ht="16.5" customHeight="1" x14ac:dyDescent="0.35">
      <c r="A418" s="30"/>
      <c r="C418" s="30"/>
    </row>
    <row r="419" spans="1:18" ht="16.5" customHeight="1" thickBot="1" x14ac:dyDescent="0.4">
      <c r="A419" s="629" t="s">
        <v>167</v>
      </c>
      <c r="B419" s="629"/>
      <c r="C419" s="629"/>
      <c r="D419" s="629"/>
      <c r="E419" s="629"/>
      <c r="F419" s="629"/>
      <c r="G419" s="629"/>
      <c r="H419" s="629"/>
      <c r="I419" s="629"/>
      <c r="J419" s="629"/>
      <c r="K419" s="629"/>
      <c r="L419" s="629"/>
      <c r="M419" s="629"/>
      <c r="N419" s="629"/>
      <c r="O419" s="629"/>
    </row>
    <row r="420" spans="1:18" ht="68.25" customHeight="1" thickTop="1" x14ac:dyDescent="0.3">
      <c r="A420" s="372"/>
      <c r="B420" s="375" t="s">
        <v>157</v>
      </c>
      <c r="C420" s="379" t="s">
        <v>230</v>
      </c>
      <c r="D420" s="379" t="s">
        <v>158</v>
      </c>
      <c r="E420" s="379" t="s">
        <v>159</v>
      </c>
      <c r="F420" s="379" t="s">
        <v>160</v>
      </c>
      <c r="G420" s="379" t="s">
        <v>161</v>
      </c>
      <c r="H420" s="379" t="s">
        <v>162</v>
      </c>
      <c r="I420" s="383" t="s">
        <v>163</v>
      </c>
      <c r="J420" s="379" t="s">
        <v>164</v>
      </c>
      <c r="K420" s="379" t="s">
        <v>66</v>
      </c>
      <c r="L420" s="379" t="s">
        <v>165</v>
      </c>
      <c r="M420" s="373" t="s">
        <v>166</v>
      </c>
      <c r="N420" s="634" t="s">
        <v>168</v>
      </c>
      <c r="O420" s="635"/>
    </row>
    <row r="421" spans="1:18" ht="16.5" x14ac:dyDescent="0.3">
      <c r="A421" s="374" t="s">
        <v>149</v>
      </c>
      <c r="B421" s="376" t="s">
        <v>82</v>
      </c>
      <c r="C421" s="380" t="s">
        <v>82</v>
      </c>
      <c r="D421" s="380" t="s">
        <v>82</v>
      </c>
      <c r="E421" s="380" t="s">
        <v>82</v>
      </c>
      <c r="F421" s="380">
        <v>62.9</v>
      </c>
      <c r="G421" s="380" t="s">
        <v>82</v>
      </c>
      <c r="H421" s="380" t="s">
        <v>82</v>
      </c>
      <c r="I421" s="384" t="s">
        <v>82</v>
      </c>
      <c r="J421" s="380" t="s">
        <v>82</v>
      </c>
      <c r="K421" s="380" t="s">
        <v>82</v>
      </c>
      <c r="L421" s="380" t="s">
        <v>82</v>
      </c>
      <c r="M421" s="374" t="s">
        <v>82</v>
      </c>
      <c r="N421" s="794">
        <f t="shared" ref="N421:N428" si="21">SUM(B421:M421)</f>
        <v>62.9</v>
      </c>
      <c r="O421" s="795"/>
      <c r="Q421" s="128"/>
      <c r="R421" s="128"/>
    </row>
    <row r="422" spans="1:18" ht="16.5" x14ac:dyDescent="0.3">
      <c r="A422" s="374" t="s">
        <v>150</v>
      </c>
      <c r="B422" s="376">
        <v>990.7</v>
      </c>
      <c r="C422" s="380">
        <v>2664.3</v>
      </c>
      <c r="D422" s="380">
        <v>466.65</v>
      </c>
      <c r="E422" s="380">
        <v>182.7</v>
      </c>
      <c r="F422" s="380">
        <v>1050.4000000000001</v>
      </c>
      <c r="G422" s="380">
        <v>279</v>
      </c>
      <c r="H422" s="380">
        <v>462.5</v>
      </c>
      <c r="I422" s="384">
        <v>571.5</v>
      </c>
      <c r="J422" s="380" t="s">
        <v>82</v>
      </c>
      <c r="K422" s="380" t="s">
        <v>82</v>
      </c>
      <c r="L422" s="380" t="s">
        <v>82</v>
      </c>
      <c r="M422" s="374" t="s">
        <v>82</v>
      </c>
      <c r="N422" s="784">
        <f t="shared" si="21"/>
        <v>6667.75</v>
      </c>
      <c r="O422" s="785"/>
      <c r="Q422" s="128"/>
      <c r="R422" s="258"/>
    </row>
    <row r="423" spans="1:18" ht="16.5" x14ac:dyDescent="0.3">
      <c r="A423" s="374" t="s">
        <v>151</v>
      </c>
      <c r="B423" s="376" t="s">
        <v>82</v>
      </c>
      <c r="C423" s="380" t="s">
        <v>82</v>
      </c>
      <c r="D423" s="380" t="s">
        <v>82</v>
      </c>
      <c r="E423" s="380" t="s">
        <v>82</v>
      </c>
      <c r="F423" s="380" t="s">
        <v>82</v>
      </c>
      <c r="G423" s="380" t="s">
        <v>82</v>
      </c>
      <c r="H423" s="380" t="s">
        <v>82</v>
      </c>
      <c r="I423" s="384" t="s">
        <v>82</v>
      </c>
      <c r="J423" s="380">
        <v>191.4</v>
      </c>
      <c r="K423" s="380">
        <v>224.5</v>
      </c>
      <c r="L423" s="380">
        <v>132</v>
      </c>
      <c r="M423" s="374" t="s">
        <v>82</v>
      </c>
      <c r="N423" s="784">
        <f t="shared" si="21"/>
        <v>547.9</v>
      </c>
      <c r="O423" s="785"/>
      <c r="Q423" s="256"/>
      <c r="R423" s="258"/>
    </row>
    <row r="424" spans="1:18" ht="16.5" x14ac:dyDescent="0.3">
      <c r="A424" s="374" t="s">
        <v>152</v>
      </c>
      <c r="B424" s="376" t="s">
        <v>82</v>
      </c>
      <c r="C424" s="380" t="s">
        <v>82</v>
      </c>
      <c r="D424" s="380" t="s">
        <v>82</v>
      </c>
      <c r="E424" s="380" t="s">
        <v>82</v>
      </c>
      <c r="F424" s="380" t="s">
        <v>82</v>
      </c>
      <c r="G424" s="380" t="s">
        <v>82</v>
      </c>
      <c r="H424" s="380" t="s">
        <v>82</v>
      </c>
      <c r="I424" s="384" t="s">
        <v>82</v>
      </c>
      <c r="J424" s="380">
        <v>115.7</v>
      </c>
      <c r="K424" s="380">
        <v>625.4</v>
      </c>
      <c r="L424" s="380">
        <v>198.7</v>
      </c>
      <c r="M424" s="374" t="s">
        <v>82</v>
      </c>
      <c r="N424" s="784">
        <f t="shared" si="21"/>
        <v>939.8</v>
      </c>
      <c r="O424" s="785"/>
      <c r="Q424" s="128"/>
      <c r="R424" s="258"/>
    </row>
    <row r="425" spans="1:18" ht="16.5" x14ac:dyDescent="0.3">
      <c r="A425" s="374" t="s">
        <v>153</v>
      </c>
      <c r="B425" s="376" t="s">
        <v>82</v>
      </c>
      <c r="C425" s="380" t="s">
        <v>82</v>
      </c>
      <c r="D425" s="380" t="s">
        <v>82</v>
      </c>
      <c r="E425" s="380" t="s">
        <v>82</v>
      </c>
      <c r="F425" s="380" t="s">
        <v>82</v>
      </c>
      <c r="G425" s="380" t="s">
        <v>82</v>
      </c>
      <c r="H425" s="380" t="s">
        <v>82</v>
      </c>
      <c r="I425" s="384" t="s">
        <v>82</v>
      </c>
      <c r="J425" s="380">
        <v>74.400000000000006</v>
      </c>
      <c r="K425" s="380">
        <v>75</v>
      </c>
      <c r="L425" s="380">
        <v>23.4</v>
      </c>
      <c r="M425" s="374" t="s">
        <v>82</v>
      </c>
      <c r="N425" s="784">
        <f t="shared" si="21"/>
        <v>172.8</v>
      </c>
      <c r="O425" s="785"/>
      <c r="Q425" s="128"/>
      <c r="R425" s="258"/>
    </row>
    <row r="426" spans="1:18" ht="16.5" x14ac:dyDescent="0.3">
      <c r="A426" s="374" t="s">
        <v>154</v>
      </c>
      <c r="B426" s="376" t="s">
        <v>82</v>
      </c>
      <c r="C426" s="380" t="s">
        <v>82</v>
      </c>
      <c r="D426" s="380" t="s">
        <v>82</v>
      </c>
      <c r="E426" s="380" t="s">
        <v>82</v>
      </c>
      <c r="F426" s="380" t="s">
        <v>82</v>
      </c>
      <c r="G426" s="380" t="s">
        <v>82</v>
      </c>
      <c r="H426" s="380" t="s">
        <v>82</v>
      </c>
      <c r="I426" s="384" t="s">
        <v>82</v>
      </c>
      <c r="J426" s="380">
        <v>60.1</v>
      </c>
      <c r="K426" s="380">
        <v>25.9</v>
      </c>
      <c r="L426" s="380" t="s">
        <v>82</v>
      </c>
      <c r="M426" s="374" t="s">
        <v>82</v>
      </c>
      <c r="N426" s="784">
        <f t="shared" si="21"/>
        <v>86</v>
      </c>
      <c r="O426" s="785"/>
      <c r="Q426" s="128"/>
      <c r="R426" s="258"/>
    </row>
    <row r="427" spans="1:18" ht="16.5" x14ac:dyDescent="0.3">
      <c r="A427" s="374" t="s">
        <v>155</v>
      </c>
      <c r="B427" s="376" t="s">
        <v>82</v>
      </c>
      <c r="C427" s="380" t="s">
        <v>82</v>
      </c>
      <c r="D427" s="380" t="s">
        <v>82</v>
      </c>
      <c r="E427" s="380" t="s">
        <v>82</v>
      </c>
      <c r="F427" s="380" t="s">
        <v>82</v>
      </c>
      <c r="G427" s="380" t="s">
        <v>82</v>
      </c>
      <c r="H427" s="380" t="s">
        <v>82</v>
      </c>
      <c r="I427" s="384" t="s">
        <v>82</v>
      </c>
      <c r="J427" s="380">
        <v>7.6</v>
      </c>
      <c r="K427" s="380" t="s">
        <v>228</v>
      </c>
      <c r="L427" s="380">
        <v>7.3</v>
      </c>
      <c r="M427" s="374" t="s">
        <v>82</v>
      </c>
      <c r="N427" s="784">
        <f t="shared" si="21"/>
        <v>14.899999999999999</v>
      </c>
      <c r="O427" s="785"/>
      <c r="Q427" s="128"/>
      <c r="R427" s="258"/>
    </row>
    <row r="428" spans="1:18" ht="16.5" x14ac:dyDescent="0.3">
      <c r="A428" s="352" t="s">
        <v>156</v>
      </c>
      <c r="B428" s="377" t="s">
        <v>82</v>
      </c>
      <c r="C428" s="381" t="s">
        <v>82</v>
      </c>
      <c r="D428" s="381" t="s">
        <v>82</v>
      </c>
      <c r="E428" s="381" t="s">
        <v>82</v>
      </c>
      <c r="F428" s="381" t="s">
        <v>82</v>
      </c>
      <c r="G428" s="381" t="s">
        <v>82</v>
      </c>
      <c r="H428" s="381" t="s">
        <v>82</v>
      </c>
      <c r="I428" s="385" t="s">
        <v>82</v>
      </c>
      <c r="J428" s="381" t="s">
        <v>82</v>
      </c>
      <c r="K428" s="381" t="s">
        <v>82</v>
      </c>
      <c r="L428" s="381" t="s">
        <v>82</v>
      </c>
      <c r="M428" s="352">
        <v>597.79999999999995</v>
      </c>
      <c r="N428" s="784">
        <f t="shared" si="21"/>
        <v>597.79999999999995</v>
      </c>
      <c r="O428" s="785"/>
      <c r="Q428" s="128"/>
      <c r="R428" s="258"/>
    </row>
    <row r="429" spans="1:18" ht="16.5" x14ac:dyDescent="0.3">
      <c r="A429" s="256" t="s">
        <v>168</v>
      </c>
      <c r="B429" s="378">
        <f>SUM(B421:B428)</f>
        <v>990.7</v>
      </c>
      <c r="C429" s="382">
        <f>SUM(C421:C428)</f>
        <v>2664.3</v>
      </c>
      <c r="D429" s="382">
        <f t="shared" ref="D429:M429" si="22">SUM(D421:D428)</f>
        <v>466.65</v>
      </c>
      <c r="E429" s="382">
        <f t="shared" si="22"/>
        <v>182.7</v>
      </c>
      <c r="F429" s="382">
        <f t="shared" si="22"/>
        <v>1113.3000000000002</v>
      </c>
      <c r="G429" s="382">
        <f t="shared" si="22"/>
        <v>279</v>
      </c>
      <c r="H429" s="382">
        <f t="shared" si="22"/>
        <v>462.5</v>
      </c>
      <c r="I429" s="386">
        <f t="shared" si="22"/>
        <v>571.5</v>
      </c>
      <c r="J429" s="382">
        <f t="shared" si="22"/>
        <v>449.20000000000005</v>
      </c>
      <c r="K429" s="382">
        <f t="shared" si="22"/>
        <v>950.8</v>
      </c>
      <c r="L429" s="382">
        <f t="shared" si="22"/>
        <v>361.4</v>
      </c>
      <c r="M429" s="244">
        <f t="shared" si="22"/>
        <v>597.79999999999995</v>
      </c>
      <c r="N429" s="794">
        <f>SUM(N421:O428)</f>
        <v>9089.8499999999967</v>
      </c>
      <c r="O429" s="795"/>
      <c r="Q429" s="259"/>
      <c r="R429" s="258"/>
    </row>
    <row r="432" spans="1:18" ht="18" thickBot="1" x14ac:dyDescent="0.4">
      <c r="A432" s="629" t="s">
        <v>227</v>
      </c>
      <c r="B432" s="629"/>
      <c r="C432" s="629"/>
      <c r="D432" s="629"/>
      <c r="E432" s="629"/>
      <c r="F432" s="629"/>
      <c r="G432" s="629"/>
      <c r="H432" s="629"/>
      <c r="I432" s="629"/>
      <c r="J432" s="629"/>
      <c r="K432" s="629"/>
      <c r="L432" s="629"/>
      <c r="M432" s="629"/>
      <c r="N432" s="629"/>
      <c r="O432" s="629"/>
    </row>
    <row r="433" spans="1:15" ht="60.75" thickTop="1" x14ac:dyDescent="0.3">
      <c r="A433" s="372"/>
      <c r="B433" s="375" t="s">
        <v>157</v>
      </c>
      <c r="C433" s="379" t="s">
        <v>230</v>
      </c>
      <c r="D433" s="379" t="s">
        <v>158</v>
      </c>
      <c r="E433" s="379" t="s">
        <v>159</v>
      </c>
      <c r="F433" s="379" t="s">
        <v>160</v>
      </c>
      <c r="G433" s="379" t="s">
        <v>161</v>
      </c>
      <c r="H433" s="379" t="s">
        <v>162</v>
      </c>
      <c r="I433" s="383" t="s">
        <v>163</v>
      </c>
      <c r="J433" s="379" t="s">
        <v>164</v>
      </c>
      <c r="K433" s="379" t="s">
        <v>66</v>
      </c>
      <c r="L433" s="379" t="s">
        <v>165</v>
      </c>
      <c r="M433" s="373" t="s">
        <v>166</v>
      </c>
      <c r="N433" s="634" t="s">
        <v>226</v>
      </c>
      <c r="O433" s="635"/>
    </row>
    <row r="434" spans="1:15" ht="16.5" x14ac:dyDescent="0.3">
      <c r="A434" s="374" t="s">
        <v>149</v>
      </c>
      <c r="B434" s="503" t="s">
        <v>82</v>
      </c>
      <c r="C434" s="502" t="s">
        <v>82</v>
      </c>
      <c r="D434" s="502" t="s">
        <v>82</v>
      </c>
      <c r="E434" s="502" t="s">
        <v>82</v>
      </c>
      <c r="F434" s="502">
        <f>SUM(F421*10.674)</f>
        <v>671.39459999999997</v>
      </c>
      <c r="G434" s="502" t="s">
        <v>82</v>
      </c>
      <c r="H434" s="502" t="s">
        <v>82</v>
      </c>
      <c r="I434" s="504" t="s">
        <v>82</v>
      </c>
      <c r="J434" s="502" t="s">
        <v>82</v>
      </c>
      <c r="K434" s="502" t="s">
        <v>82</v>
      </c>
      <c r="L434" s="502" t="s">
        <v>82</v>
      </c>
      <c r="M434" s="505" t="s">
        <v>82</v>
      </c>
      <c r="N434" s="627">
        <f t="shared" ref="N434:N441" si="23">SUM(B434:M434)</f>
        <v>671.39459999999997</v>
      </c>
      <c r="O434" s="628"/>
    </row>
    <row r="435" spans="1:15" ht="16.5" x14ac:dyDescent="0.3">
      <c r="A435" s="374" t="s">
        <v>150</v>
      </c>
      <c r="B435" s="503">
        <f>SUM(B422*10.674)</f>
        <v>10574.7318</v>
      </c>
      <c r="C435" s="502">
        <f>C422*10.674</f>
        <v>28438.7382</v>
      </c>
      <c r="D435" s="502">
        <f>SUM(D422*10.674)</f>
        <v>4981.0220999999992</v>
      </c>
      <c r="E435" s="502">
        <f>E422*10.674</f>
        <v>1950.1397999999997</v>
      </c>
      <c r="F435" s="502">
        <f>SUM(F422*10.674)</f>
        <v>11211.9696</v>
      </c>
      <c r="G435" s="502">
        <f>SUM(G422*10.674)</f>
        <v>2978.0459999999998</v>
      </c>
      <c r="H435" s="502">
        <f>SUM(H422*10.674)</f>
        <v>4936.7249999999995</v>
      </c>
      <c r="I435" s="504">
        <f>SUM(I422*10.674)</f>
        <v>6100.1909999999998</v>
      </c>
      <c r="J435" s="502" t="s">
        <v>82</v>
      </c>
      <c r="K435" s="502" t="s">
        <v>82</v>
      </c>
      <c r="L435" s="502" t="s">
        <v>82</v>
      </c>
      <c r="M435" s="505" t="s">
        <v>82</v>
      </c>
      <c r="N435" s="625">
        <f t="shared" si="23"/>
        <v>71171.563500000004</v>
      </c>
      <c r="O435" s="626"/>
    </row>
    <row r="436" spans="1:15" ht="16.5" x14ac:dyDescent="0.3">
      <c r="A436" s="374" t="s">
        <v>151</v>
      </c>
      <c r="B436" s="503" t="s">
        <v>82</v>
      </c>
      <c r="C436" s="502" t="s">
        <v>82</v>
      </c>
      <c r="D436" s="502" t="s">
        <v>82</v>
      </c>
      <c r="E436" s="502" t="s">
        <v>82</v>
      </c>
      <c r="F436" s="502" t="s">
        <v>82</v>
      </c>
      <c r="G436" s="502" t="s">
        <v>82</v>
      </c>
      <c r="H436" s="502" t="s">
        <v>82</v>
      </c>
      <c r="I436" s="504" t="s">
        <v>82</v>
      </c>
      <c r="J436" s="502">
        <f t="shared" ref="J436:L438" si="24">SUM(J423*10.674)</f>
        <v>2043.0036</v>
      </c>
      <c r="K436" s="502">
        <f t="shared" si="24"/>
        <v>2396.3130000000001</v>
      </c>
      <c r="L436" s="502">
        <f t="shared" si="24"/>
        <v>1408.9679999999998</v>
      </c>
      <c r="M436" s="505" t="s">
        <v>82</v>
      </c>
      <c r="N436" s="625">
        <f t="shared" si="23"/>
        <v>5848.2846</v>
      </c>
      <c r="O436" s="626"/>
    </row>
    <row r="437" spans="1:15" ht="16.5" x14ac:dyDescent="0.3">
      <c r="A437" s="374" t="s">
        <v>152</v>
      </c>
      <c r="B437" s="503" t="s">
        <v>82</v>
      </c>
      <c r="C437" s="502" t="s">
        <v>82</v>
      </c>
      <c r="D437" s="502" t="s">
        <v>82</v>
      </c>
      <c r="E437" s="502" t="s">
        <v>82</v>
      </c>
      <c r="F437" s="502" t="s">
        <v>82</v>
      </c>
      <c r="G437" s="502" t="s">
        <v>82</v>
      </c>
      <c r="H437" s="502" t="s">
        <v>82</v>
      </c>
      <c r="I437" s="504" t="s">
        <v>82</v>
      </c>
      <c r="J437" s="502">
        <f t="shared" si="24"/>
        <v>1234.9818</v>
      </c>
      <c r="K437" s="502">
        <f t="shared" si="24"/>
        <v>6675.5195999999996</v>
      </c>
      <c r="L437" s="502">
        <f t="shared" si="24"/>
        <v>2120.9237999999996</v>
      </c>
      <c r="M437" s="505" t="s">
        <v>82</v>
      </c>
      <c r="N437" s="625">
        <f t="shared" si="23"/>
        <v>10031.425199999998</v>
      </c>
      <c r="O437" s="626"/>
    </row>
    <row r="438" spans="1:15" ht="16.5" x14ac:dyDescent="0.3">
      <c r="A438" s="374" t="s">
        <v>153</v>
      </c>
      <c r="B438" s="503" t="s">
        <v>82</v>
      </c>
      <c r="C438" s="502" t="s">
        <v>82</v>
      </c>
      <c r="D438" s="502" t="s">
        <v>82</v>
      </c>
      <c r="E438" s="502" t="s">
        <v>82</v>
      </c>
      <c r="F438" s="502" t="s">
        <v>82</v>
      </c>
      <c r="G438" s="502" t="s">
        <v>82</v>
      </c>
      <c r="H438" s="502" t="s">
        <v>82</v>
      </c>
      <c r="I438" s="504" t="s">
        <v>82</v>
      </c>
      <c r="J438" s="502">
        <f t="shared" si="24"/>
        <v>794.14560000000006</v>
      </c>
      <c r="K438" s="502">
        <f t="shared" si="24"/>
        <v>800.55</v>
      </c>
      <c r="L438" s="502">
        <f t="shared" si="24"/>
        <v>249.77159999999998</v>
      </c>
      <c r="M438" s="505" t="s">
        <v>82</v>
      </c>
      <c r="N438" s="625">
        <f t="shared" si="23"/>
        <v>1844.4672</v>
      </c>
      <c r="O438" s="626"/>
    </row>
    <row r="439" spans="1:15" ht="16.5" x14ac:dyDescent="0.3">
      <c r="A439" s="374" t="s">
        <v>154</v>
      </c>
      <c r="B439" s="503" t="s">
        <v>82</v>
      </c>
      <c r="C439" s="502" t="s">
        <v>82</v>
      </c>
      <c r="D439" s="502" t="s">
        <v>82</v>
      </c>
      <c r="E439" s="502" t="s">
        <v>82</v>
      </c>
      <c r="F439" s="502" t="s">
        <v>82</v>
      </c>
      <c r="G439" s="502" t="s">
        <v>82</v>
      </c>
      <c r="H439" s="502" t="s">
        <v>82</v>
      </c>
      <c r="I439" s="504" t="s">
        <v>82</v>
      </c>
      <c r="J439" s="502">
        <f>SUM(J426*10.674)</f>
        <v>641.50739999999996</v>
      </c>
      <c r="K439" s="502">
        <f>SUM(K426*10.674)</f>
        <v>276.45659999999998</v>
      </c>
      <c r="L439" s="502" t="s">
        <v>82</v>
      </c>
      <c r="M439" s="505" t="s">
        <v>82</v>
      </c>
      <c r="N439" s="625">
        <f t="shared" si="23"/>
        <v>917.96399999999994</v>
      </c>
      <c r="O439" s="626"/>
    </row>
    <row r="440" spans="1:15" ht="16.5" x14ac:dyDescent="0.3">
      <c r="A440" s="374" t="s">
        <v>155</v>
      </c>
      <c r="B440" s="503" t="s">
        <v>82</v>
      </c>
      <c r="C440" s="502" t="s">
        <v>82</v>
      </c>
      <c r="D440" s="502" t="s">
        <v>82</v>
      </c>
      <c r="E440" s="502" t="s">
        <v>82</v>
      </c>
      <c r="F440" s="502" t="s">
        <v>82</v>
      </c>
      <c r="G440" s="502" t="s">
        <v>82</v>
      </c>
      <c r="H440" s="502" t="s">
        <v>82</v>
      </c>
      <c r="I440" s="504" t="s">
        <v>82</v>
      </c>
      <c r="J440" s="502">
        <f>SUM(J427*10.674)</f>
        <v>81.122399999999999</v>
      </c>
      <c r="K440" s="502" t="s">
        <v>82</v>
      </c>
      <c r="L440" s="502" t="s">
        <v>82</v>
      </c>
      <c r="M440" s="505" t="s">
        <v>82</v>
      </c>
      <c r="N440" s="625">
        <f t="shared" si="23"/>
        <v>81.122399999999999</v>
      </c>
      <c r="O440" s="626"/>
    </row>
    <row r="441" spans="1:15" ht="16.5" x14ac:dyDescent="0.3">
      <c r="A441" s="352" t="s">
        <v>156</v>
      </c>
      <c r="B441" s="506" t="s">
        <v>82</v>
      </c>
      <c r="C441" s="507" t="s">
        <v>82</v>
      </c>
      <c r="D441" s="507" t="s">
        <v>82</v>
      </c>
      <c r="E441" s="507" t="s">
        <v>82</v>
      </c>
      <c r="F441" s="507" t="s">
        <v>82</v>
      </c>
      <c r="G441" s="507" t="s">
        <v>82</v>
      </c>
      <c r="H441" s="507" t="s">
        <v>82</v>
      </c>
      <c r="I441" s="508" t="s">
        <v>82</v>
      </c>
      <c r="J441" s="507" t="s">
        <v>82</v>
      </c>
      <c r="K441" s="507" t="s">
        <v>82</v>
      </c>
      <c r="L441" s="507" t="s">
        <v>82</v>
      </c>
      <c r="M441" s="509">
        <f>SUM(M428*10.674)</f>
        <v>6380.917199999999</v>
      </c>
      <c r="N441" s="625">
        <f t="shared" si="23"/>
        <v>6380.917199999999</v>
      </c>
      <c r="O441" s="626"/>
    </row>
    <row r="442" spans="1:15" ht="16.5" x14ac:dyDescent="0.3">
      <c r="A442" s="256" t="s">
        <v>226</v>
      </c>
      <c r="B442" s="510">
        <f>SUM(B434:B441)</f>
        <v>10574.7318</v>
      </c>
      <c r="C442" s="511">
        <f>SUM(C434:C441)</f>
        <v>28438.7382</v>
      </c>
      <c r="D442" s="511">
        <f>SUM(D434:D441)</f>
        <v>4981.0220999999992</v>
      </c>
      <c r="E442" s="511">
        <f>SUM(E434:E441)</f>
        <v>1950.1397999999997</v>
      </c>
      <c r="F442" s="511">
        <f>SUM(F434:F441)</f>
        <v>11883.3642</v>
      </c>
      <c r="G442" s="511">
        <f t="shared" ref="G442:M442" si="25">SUM(G434:G441)</f>
        <v>2978.0459999999998</v>
      </c>
      <c r="H442" s="511">
        <f t="shared" si="25"/>
        <v>4936.7249999999995</v>
      </c>
      <c r="I442" s="512">
        <f t="shared" si="25"/>
        <v>6100.1909999999998</v>
      </c>
      <c r="J442" s="511">
        <f t="shared" si="25"/>
        <v>4794.7608</v>
      </c>
      <c r="K442" s="511">
        <f t="shared" si="25"/>
        <v>10148.839199999999</v>
      </c>
      <c r="L442" s="511">
        <f t="shared" si="25"/>
        <v>3779.6633999999995</v>
      </c>
      <c r="M442" s="303">
        <f t="shared" si="25"/>
        <v>6380.917199999999</v>
      </c>
      <c r="N442" s="627">
        <f>SUM(N434:O441)</f>
        <v>96947.138699999981</v>
      </c>
      <c r="O442" s="628"/>
    </row>
    <row r="443" spans="1:15" x14ac:dyDescent="0.35">
      <c r="J443" s="30"/>
      <c r="K443" s="2"/>
    </row>
  </sheetData>
  <mergeCells count="640">
    <mergeCell ref="U84:X84"/>
    <mergeCell ref="U85:X85"/>
    <mergeCell ref="U87:X87"/>
    <mergeCell ref="U79:X79"/>
    <mergeCell ref="X70:Y70"/>
    <mergeCell ref="X71:Y71"/>
    <mergeCell ref="X73:Y73"/>
    <mergeCell ref="X74:Y74"/>
    <mergeCell ref="Z70:AA70"/>
    <mergeCell ref="Z71:AA71"/>
    <mergeCell ref="Z73:AA73"/>
    <mergeCell ref="Z74:AA74"/>
    <mergeCell ref="U73:W73"/>
    <mergeCell ref="U74:W74"/>
    <mergeCell ref="U86:X86"/>
    <mergeCell ref="U81:X81"/>
    <mergeCell ref="A370:C370"/>
    <mergeCell ref="K411:K413"/>
    <mergeCell ref="I411:I412"/>
    <mergeCell ref="J411:J412"/>
    <mergeCell ref="A408:C408"/>
    <mergeCell ref="A409:C409"/>
    <mergeCell ref="A410:C410"/>
    <mergeCell ref="A402:C402"/>
    <mergeCell ref="F402:H402"/>
    <mergeCell ref="F403:H403"/>
    <mergeCell ref="F404:H404"/>
    <mergeCell ref="A403:C403"/>
    <mergeCell ref="A391:C391"/>
    <mergeCell ref="A392:C392"/>
    <mergeCell ref="A393:C393"/>
    <mergeCell ref="A404:C404"/>
    <mergeCell ref="A396:C396"/>
    <mergeCell ref="A405:C405"/>
    <mergeCell ref="I377:J377"/>
    <mergeCell ref="A386:E386"/>
    <mergeCell ref="A387:C387"/>
    <mergeCell ref="A388:C388"/>
    <mergeCell ref="A401:H401"/>
    <mergeCell ref="A389:C389"/>
    <mergeCell ref="N429:O429"/>
    <mergeCell ref="B3:B4"/>
    <mergeCell ref="E411:E412"/>
    <mergeCell ref="F411:H412"/>
    <mergeCell ref="A376:C376"/>
    <mergeCell ref="A377:C377"/>
    <mergeCell ref="A378:C378"/>
    <mergeCell ref="A379:C379"/>
    <mergeCell ref="A173:A353"/>
    <mergeCell ref="A6:A172"/>
    <mergeCell ref="A372:C372"/>
    <mergeCell ref="A373:C373"/>
    <mergeCell ref="A374:C374"/>
    <mergeCell ref="A375:C375"/>
    <mergeCell ref="B6:B10"/>
    <mergeCell ref="B11:B20"/>
    <mergeCell ref="L412:L413"/>
    <mergeCell ref="M412:M413"/>
    <mergeCell ref="F413:H413"/>
    <mergeCell ref="A413:C413"/>
    <mergeCell ref="A412:C412"/>
    <mergeCell ref="A394:C394"/>
    <mergeCell ref="A395:C395"/>
    <mergeCell ref="N420:O420"/>
    <mergeCell ref="N425:O425"/>
    <mergeCell ref="N426:O426"/>
    <mergeCell ref="O403:O405"/>
    <mergeCell ref="O407:O410"/>
    <mergeCell ref="O406:P406"/>
    <mergeCell ref="O411:R411"/>
    <mergeCell ref="O412:R413"/>
    <mergeCell ref="N427:O427"/>
    <mergeCell ref="N428:O428"/>
    <mergeCell ref="N421:O421"/>
    <mergeCell ref="N422:O422"/>
    <mergeCell ref="N423:O423"/>
    <mergeCell ref="N424:O424"/>
    <mergeCell ref="A419:O419"/>
    <mergeCell ref="A406:C406"/>
    <mergeCell ref="A407:C407"/>
    <mergeCell ref="A411:C411"/>
    <mergeCell ref="A416:D416"/>
    <mergeCell ref="A415:C415"/>
    <mergeCell ref="D367:K367"/>
    <mergeCell ref="D366:K366"/>
    <mergeCell ref="D365:K365"/>
    <mergeCell ref="H71:H72"/>
    <mergeCell ref="I71:I72"/>
    <mergeCell ref="J71:J72"/>
    <mergeCell ref="I79:I80"/>
    <mergeCell ref="J79:J80"/>
    <mergeCell ref="C81:C83"/>
    <mergeCell ref="D81:D83"/>
    <mergeCell ref="E81:E83"/>
    <mergeCell ref="C79:C80"/>
    <mergeCell ref="D79:D80"/>
    <mergeCell ref="E79:E80"/>
    <mergeCell ref="G77:G78"/>
    <mergeCell ref="H77:H78"/>
    <mergeCell ref="I77:I78"/>
    <mergeCell ref="J77:J78"/>
    <mergeCell ref="F71:F72"/>
    <mergeCell ref="G71:G72"/>
    <mergeCell ref="F79:F80"/>
    <mergeCell ref="G79:G80"/>
    <mergeCell ref="H79:H80"/>
    <mergeCell ref="I112:I113"/>
    <mergeCell ref="A390:C390"/>
    <mergeCell ref="E71:E72"/>
    <mergeCell ref="B247:B328"/>
    <mergeCell ref="B329:B353"/>
    <mergeCell ref="A371:C371"/>
    <mergeCell ref="O372:P372"/>
    <mergeCell ref="O374:P374"/>
    <mergeCell ref="O375:P375"/>
    <mergeCell ref="O376:P376"/>
    <mergeCell ref="O377:P377"/>
    <mergeCell ref="O378:P378"/>
    <mergeCell ref="O379:P379"/>
    <mergeCell ref="O373:P373"/>
    <mergeCell ref="D71:D72"/>
    <mergeCell ref="O370:P370"/>
    <mergeCell ref="O371:P371"/>
    <mergeCell ref="N71:N72"/>
    <mergeCell ref="M71:M72"/>
    <mergeCell ref="O71:O72"/>
    <mergeCell ref="P71:P72"/>
    <mergeCell ref="C77:C78"/>
    <mergeCell ref="D77:D78"/>
    <mergeCell ref="E77:E78"/>
    <mergeCell ref="F77:F78"/>
    <mergeCell ref="E30:E31"/>
    <mergeCell ref="F30:F31"/>
    <mergeCell ref="G30:G31"/>
    <mergeCell ref="F379:H379"/>
    <mergeCell ref="L366:P367"/>
    <mergeCell ref="B140:B172"/>
    <mergeCell ref="B51:B99"/>
    <mergeCell ref="B21:B32"/>
    <mergeCell ref="B33:B50"/>
    <mergeCell ref="B100:B139"/>
    <mergeCell ref="F371:H371"/>
    <mergeCell ref="F370:H370"/>
    <mergeCell ref="I370:J370"/>
    <mergeCell ref="I371:J371"/>
    <mergeCell ref="B173:B193"/>
    <mergeCell ref="A359:B360"/>
    <mergeCell ref="A354:B358"/>
    <mergeCell ref="C359:C360"/>
    <mergeCell ref="D359:D360"/>
    <mergeCell ref="E359:E360"/>
    <mergeCell ref="B194:B246"/>
    <mergeCell ref="C30:C31"/>
    <mergeCell ref="D30:D31"/>
    <mergeCell ref="C71:C72"/>
    <mergeCell ref="S412:S413"/>
    <mergeCell ref="O401:S401"/>
    <mergeCell ref="F372:H372"/>
    <mergeCell ref="I372:J372"/>
    <mergeCell ref="I373:J373"/>
    <mergeCell ref="I374:J374"/>
    <mergeCell ref="I375:J375"/>
    <mergeCell ref="I376:J376"/>
    <mergeCell ref="F373:H373"/>
    <mergeCell ref="F374:H374"/>
    <mergeCell ref="F375:H375"/>
    <mergeCell ref="F376:H376"/>
    <mergeCell ref="F405:H405"/>
    <mergeCell ref="F406:H406"/>
    <mergeCell ref="F407:H407"/>
    <mergeCell ref="F408:H408"/>
    <mergeCell ref="F409:H409"/>
    <mergeCell ref="F410:H410"/>
    <mergeCell ref="I378:J378"/>
    <mergeCell ref="I379:J379"/>
    <mergeCell ref="F377:H377"/>
    <mergeCell ref="F378:H378"/>
    <mergeCell ref="P380:Q380"/>
    <mergeCell ref="P381:Q381"/>
    <mergeCell ref="U28:V28"/>
    <mergeCell ref="W28:X28"/>
    <mergeCell ref="U29:V29"/>
    <mergeCell ref="W29:X29"/>
    <mergeCell ref="U71:W71"/>
    <mergeCell ref="U70:W70"/>
    <mergeCell ref="U27:X27"/>
    <mergeCell ref="U30:V30"/>
    <mergeCell ref="W30:X30"/>
    <mergeCell ref="U31:V31"/>
    <mergeCell ref="U32:V32"/>
    <mergeCell ref="W31:X31"/>
    <mergeCell ref="W32:X32"/>
    <mergeCell ref="A1:R2"/>
    <mergeCell ref="U13:X13"/>
    <mergeCell ref="A3:A4"/>
    <mergeCell ref="C3:C4"/>
    <mergeCell ref="D3:D4"/>
    <mergeCell ref="L3:P4"/>
    <mergeCell ref="K3:K4"/>
    <mergeCell ref="H3:H4"/>
    <mergeCell ref="I3:I4"/>
    <mergeCell ref="J3:J4"/>
    <mergeCell ref="C13:C14"/>
    <mergeCell ref="D13:D14"/>
    <mergeCell ref="E13:E14"/>
    <mergeCell ref="F13:F14"/>
    <mergeCell ref="U22:V22"/>
    <mergeCell ref="U24:V24"/>
    <mergeCell ref="W22:X22"/>
    <mergeCell ref="W24:X24"/>
    <mergeCell ref="U20:V20"/>
    <mergeCell ref="W20:X20"/>
    <mergeCell ref="U5:AA5"/>
    <mergeCell ref="Q3:Q4"/>
    <mergeCell ref="R3:R4"/>
    <mergeCell ref="U21:V21"/>
    <mergeCell ref="W21:X21"/>
    <mergeCell ref="Q13:Q14"/>
    <mergeCell ref="R13:R14"/>
    <mergeCell ref="U19:V19"/>
    <mergeCell ref="W19:X19"/>
    <mergeCell ref="U23:V23"/>
    <mergeCell ref="W23:X23"/>
    <mergeCell ref="U14:V14"/>
    <mergeCell ref="W14:X14"/>
    <mergeCell ref="U15:V15"/>
    <mergeCell ref="U16:V16"/>
    <mergeCell ref="W15:X15"/>
    <mergeCell ref="W16:X16"/>
    <mergeCell ref="W17:X17"/>
    <mergeCell ref="Q30:Q31"/>
    <mergeCell ref="G13:G14"/>
    <mergeCell ref="H13:H14"/>
    <mergeCell ref="I13:I14"/>
    <mergeCell ref="J13:J14"/>
    <mergeCell ref="L13:L14"/>
    <mergeCell ref="M13:M14"/>
    <mergeCell ref="N13:N14"/>
    <mergeCell ref="O13:O14"/>
    <mergeCell ref="P13:P14"/>
    <mergeCell ref="R30:R31"/>
    <mergeCell ref="C44:C45"/>
    <mergeCell ref="D44:D45"/>
    <mergeCell ref="E44:E45"/>
    <mergeCell ref="F44:F45"/>
    <mergeCell ref="G44:G45"/>
    <mergeCell ref="H44:H45"/>
    <mergeCell ref="I44:I45"/>
    <mergeCell ref="J44:J45"/>
    <mergeCell ref="L44:L45"/>
    <mergeCell ref="M44:M45"/>
    <mergeCell ref="N44:N45"/>
    <mergeCell ref="O44:O45"/>
    <mergeCell ref="P44:P45"/>
    <mergeCell ref="Q44:Q45"/>
    <mergeCell ref="R44:R45"/>
    <mergeCell ref="H30:H31"/>
    <mergeCell ref="I30:I31"/>
    <mergeCell ref="J30:J31"/>
    <mergeCell ref="L30:L31"/>
    <mergeCell ref="M30:M31"/>
    <mergeCell ref="N30:N31"/>
    <mergeCell ref="O30:O31"/>
    <mergeCell ref="P30:P31"/>
    <mergeCell ref="Q71:Q72"/>
    <mergeCell ref="R71:R72"/>
    <mergeCell ref="M77:M78"/>
    <mergeCell ref="N77:N78"/>
    <mergeCell ref="O77:O78"/>
    <mergeCell ref="P77:P78"/>
    <mergeCell ref="Q77:Q78"/>
    <mergeCell ref="R77:R78"/>
    <mergeCell ref="L71:L72"/>
    <mergeCell ref="L77:L78"/>
    <mergeCell ref="M81:M83"/>
    <mergeCell ref="N81:N83"/>
    <mergeCell ref="O81:O83"/>
    <mergeCell ref="M79:M80"/>
    <mergeCell ref="N79:N80"/>
    <mergeCell ref="O79:O80"/>
    <mergeCell ref="L79:L80"/>
    <mergeCell ref="I81:I83"/>
    <mergeCell ref="J81:J83"/>
    <mergeCell ref="L81:L83"/>
    <mergeCell ref="P81:P83"/>
    <mergeCell ref="Q81:Q83"/>
    <mergeCell ref="R81:R83"/>
    <mergeCell ref="P79:P80"/>
    <mergeCell ref="Q79:Q80"/>
    <mergeCell ref="R79:R80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L100:L101"/>
    <mergeCell ref="M100:M101"/>
    <mergeCell ref="N100:N101"/>
    <mergeCell ref="O100:O101"/>
    <mergeCell ref="P100:P101"/>
    <mergeCell ref="Q100:Q101"/>
    <mergeCell ref="R100:R101"/>
    <mergeCell ref="F81:F83"/>
    <mergeCell ref="G81:G83"/>
    <mergeCell ref="H81:H83"/>
    <mergeCell ref="P102:P103"/>
    <mergeCell ref="Q102:Q103"/>
    <mergeCell ref="R102:R103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L109:L110"/>
    <mergeCell ref="M109:M110"/>
    <mergeCell ref="N109:N110"/>
    <mergeCell ref="O109:O110"/>
    <mergeCell ref="P109:P110"/>
    <mergeCell ref="Q109:Q110"/>
    <mergeCell ref="R109:R110"/>
    <mergeCell ref="C102:C103"/>
    <mergeCell ref="D102:D103"/>
    <mergeCell ref="E102:E103"/>
    <mergeCell ref="F102:F103"/>
    <mergeCell ref="G102:G103"/>
    <mergeCell ref="H102:H103"/>
    <mergeCell ref="J112:J113"/>
    <mergeCell ref="L112:L113"/>
    <mergeCell ref="M102:M103"/>
    <mergeCell ref="N102:N103"/>
    <mergeCell ref="O102:O103"/>
    <mergeCell ref="I102:I103"/>
    <mergeCell ref="J102:J103"/>
    <mergeCell ref="L102:L103"/>
    <mergeCell ref="M112:M113"/>
    <mergeCell ref="N112:N113"/>
    <mergeCell ref="O112:O113"/>
    <mergeCell ref="P112:P113"/>
    <mergeCell ref="Q112:Q113"/>
    <mergeCell ref="R112:R113"/>
    <mergeCell ref="C114:C116"/>
    <mergeCell ref="D114:D116"/>
    <mergeCell ref="E114:E116"/>
    <mergeCell ref="F114:F116"/>
    <mergeCell ref="G114:G116"/>
    <mergeCell ref="H114:H116"/>
    <mergeCell ref="I114:I116"/>
    <mergeCell ref="J114:J116"/>
    <mergeCell ref="L114:L116"/>
    <mergeCell ref="M114:M116"/>
    <mergeCell ref="N114:N116"/>
    <mergeCell ref="O114:O116"/>
    <mergeCell ref="P114:P116"/>
    <mergeCell ref="Q114:Q116"/>
    <mergeCell ref="R114:R116"/>
    <mergeCell ref="C112:C113"/>
    <mergeCell ref="D112:D113"/>
    <mergeCell ref="E112:E113"/>
    <mergeCell ref="F112:F113"/>
    <mergeCell ref="G112:G113"/>
    <mergeCell ref="H112:H113"/>
    <mergeCell ref="P117:P118"/>
    <mergeCell ref="Q117:Q118"/>
    <mergeCell ref="R117:R118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L119:L120"/>
    <mergeCell ref="M119:M120"/>
    <mergeCell ref="N119:N120"/>
    <mergeCell ref="O119:O120"/>
    <mergeCell ref="P119:P120"/>
    <mergeCell ref="Q119:Q120"/>
    <mergeCell ref="R119:R120"/>
    <mergeCell ref="C117:C118"/>
    <mergeCell ref="D117:D118"/>
    <mergeCell ref="E117:E118"/>
    <mergeCell ref="F117:F118"/>
    <mergeCell ref="G117:G118"/>
    <mergeCell ref="H117:H118"/>
    <mergeCell ref="I123:I124"/>
    <mergeCell ref="J123:J124"/>
    <mergeCell ref="M117:M118"/>
    <mergeCell ref="N117:N118"/>
    <mergeCell ref="O117:O118"/>
    <mergeCell ref="I117:I118"/>
    <mergeCell ref="J117:J118"/>
    <mergeCell ref="L117:L118"/>
    <mergeCell ref="L123:L124"/>
    <mergeCell ref="M123:M124"/>
    <mergeCell ref="N123:N124"/>
    <mergeCell ref="O123:O124"/>
    <mergeCell ref="P123:P124"/>
    <mergeCell ref="Q123:Q124"/>
    <mergeCell ref="R123:R124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L127:L128"/>
    <mergeCell ref="M127:M128"/>
    <mergeCell ref="N127:N128"/>
    <mergeCell ref="O127:O128"/>
    <mergeCell ref="P127:P128"/>
    <mergeCell ref="Q127:Q128"/>
    <mergeCell ref="R127:R128"/>
    <mergeCell ref="C123:C124"/>
    <mergeCell ref="D123:D124"/>
    <mergeCell ref="E123:E124"/>
    <mergeCell ref="F123:F124"/>
    <mergeCell ref="G123:G124"/>
    <mergeCell ref="H123:H124"/>
    <mergeCell ref="P136:P137"/>
    <mergeCell ref="Q136:Q137"/>
    <mergeCell ref="R136:R137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L141:L142"/>
    <mergeCell ref="M141:M142"/>
    <mergeCell ref="N141:N142"/>
    <mergeCell ref="O141:O142"/>
    <mergeCell ref="P141:P142"/>
    <mergeCell ref="Q141:Q142"/>
    <mergeCell ref="R141:R142"/>
    <mergeCell ref="C136:C137"/>
    <mergeCell ref="D136:D137"/>
    <mergeCell ref="E136:E137"/>
    <mergeCell ref="F136:F137"/>
    <mergeCell ref="G136:G137"/>
    <mergeCell ref="H136:H137"/>
    <mergeCell ref="I145:I146"/>
    <mergeCell ref="J145:J146"/>
    <mergeCell ref="M136:M137"/>
    <mergeCell ref="N136:N137"/>
    <mergeCell ref="O136:O137"/>
    <mergeCell ref="I136:I137"/>
    <mergeCell ref="J136:J137"/>
    <mergeCell ref="L136:L137"/>
    <mergeCell ref="L145:L146"/>
    <mergeCell ref="M145:M146"/>
    <mergeCell ref="N145:N146"/>
    <mergeCell ref="O145:O146"/>
    <mergeCell ref="P145:P146"/>
    <mergeCell ref="Q145:Q146"/>
    <mergeCell ref="R145:R146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M156:M157"/>
    <mergeCell ref="L156:L157"/>
    <mergeCell ref="N156:N157"/>
    <mergeCell ref="O156:O157"/>
    <mergeCell ref="P156:P157"/>
    <mergeCell ref="Q156:Q157"/>
    <mergeCell ref="R156:R157"/>
    <mergeCell ref="C145:C146"/>
    <mergeCell ref="D145:D146"/>
    <mergeCell ref="E145:E146"/>
    <mergeCell ref="F145:F146"/>
    <mergeCell ref="G145:G146"/>
    <mergeCell ref="H145:H146"/>
    <mergeCell ref="P158:P159"/>
    <mergeCell ref="Q158:Q159"/>
    <mergeCell ref="R158:R159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L160:L161"/>
    <mergeCell ref="M160:M161"/>
    <mergeCell ref="N160:N161"/>
    <mergeCell ref="O160:O161"/>
    <mergeCell ref="P160:P161"/>
    <mergeCell ref="Q160:Q161"/>
    <mergeCell ref="R160:R161"/>
    <mergeCell ref="C158:C159"/>
    <mergeCell ref="D158:D159"/>
    <mergeCell ref="E158:E159"/>
    <mergeCell ref="F158:F159"/>
    <mergeCell ref="G158:G159"/>
    <mergeCell ref="H158:H159"/>
    <mergeCell ref="H164:H165"/>
    <mergeCell ref="I164:I165"/>
    <mergeCell ref="J164:J165"/>
    <mergeCell ref="M158:M159"/>
    <mergeCell ref="N158:N159"/>
    <mergeCell ref="O158:O159"/>
    <mergeCell ref="I158:I159"/>
    <mergeCell ref="J158:J159"/>
    <mergeCell ref="L158:L159"/>
    <mergeCell ref="L164:L165"/>
    <mergeCell ref="M164:M165"/>
    <mergeCell ref="N164:N165"/>
    <mergeCell ref="O164:O165"/>
    <mergeCell ref="R332:R333"/>
    <mergeCell ref="P164:P165"/>
    <mergeCell ref="Q164:Q165"/>
    <mergeCell ref="R164:R165"/>
    <mergeCell ref="C330:C331"/>
    <mergeCell ref="D330:D331"/>
    <mergeCell ref="E330:E331"/>
    <mergeCell ref="F330:F331"/>
    <mergeCell ref="G330:G331"/>
    <mergeCell ref="H330:H331"/>
    <mergeCell ref="I330:I331"/>
    <mergeCell ref="J330:J331"/>
    <mergeCell ref="L330:L331"/>
    <mergeCell ref="M330:M331"/>
    <mergeCell ref="N330:N331"/>
    <mergeCell ref="O330:O331"/>
    <mergeCell ref="P330:P331"/>
    <mergeCell ref="Q330:Q331"/>
    <mergeCell ref="R330:R331"/>
    <mergeCell ref="C164:C165"/>
    <mergeCell ref="D164:D165"/>
    <mergeCell ref="E164:E165"/>
    <mergeCell ref="F164:F165"/>
    <mergeCell ref="G164:G165"/>
    <mergeCell ref="O342:O343"/>
    <mergeCell ref="P334:P335"/>
    <mergeCell ref="Q334:Q335"/>
    <mergeCell ref="R334:R335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L332:L333"/>
    <mergeCell ref="C334:C335"/>
    <mergeCell ref="D334:D335"/>
    <mergeCell ref="E334:E335"/>
    <mergeCell ref="F334:F335"/>
    <mergeCell ref="G334:G335"/>
    <mergeCell ref="H334:H335"/>
    <mergeCell ref="I334:I335"/>
    <mergeCell ref="J334:J335"/>
    <mergeCell ref="L334:L335"/>
    <mergeCell ref="P332:P333"/>
    <mergeCell ref="Q332:Q333"/>
    <mergeCell ref="D344:D345"/>
    <mergeCell ref="E344:E345"/>
    <mergeCell ref="F344:F345"/>
    <mergeCell ref="G344:G345"/>
    <mergeCell ref="H344:H345"/>
    <mergeCell ref="I344:I345"/>
    <mergeCell ref="J344:J345"/>
    <mergeCell ref="L344:L345"/>
    <mergeCell ref="I342:I343"/>
    <mergeCell ref="J342:J343"/>
    <mergeCell ref="L342:L343"/>
    <mergeCell ref="C346:C347"/>
    <mergeCell ref="D346:D347"/>
    <mergeCell ref="E346:E347"/>
    <mergeCell ref="F346:F347"/>
    <mergeCell ref="G346:G347"/>
    <mergeCell ref="H346:H347"/>
    <mergeCell ref="I346:I347"/>
    <mergeCell ref="J346:J347"/>
    <mergeCell ref="L346:L347"/>
    <mergeCell ref="P342:P343"/>
    <mergeCell ref="Q342:Q343"/>
    <mergeCell ref="R342:R343"/>
    <mergeCell ref="M344:M345"/>
    <mergeCell ref="N438:O438"/>
    <mergeCell ref="N439:O439"/>
    <mergeCell ref="W18:X18"/>
    <mergeCell ref="U17:V17"/>
    <mergeCell ref="U18:V18"/>
    <mergeCell ref="P346:P347"/>
    <mergeCell ref="Q346:Q347"/>
    <mergeCell ref="R346:R347"/>
    <mergeCell ref="N344:N345"/>
    <mergeCell ref="O344:O345"/>
    <mergeCell ref="P344:P345"/>
    <mergeCell ref="Q344:Q345"/>
    <mergeCell ref="R344:R345"/>
    <mergeCell ref="U25:V25"/>
    <mergeCell ref="W25:X25"/>
    <mergeCell ref="U33:V33"/>
    <mergeCell ref="W33:X33"/>
    <mergeCell ref="M332:M333"/>
    <mergeCell ref="N332:N333"/>
    <mergeCell ref="O332:O333"/>
    <mergeCell ref="N440:O440"/>
    <mergeCell ref="N441:O441"/>
    <mergeCell ref="N442:O442"/>
    <mergeCell ref="A432:O432"/>
    <mergeCell ref="M334:M335"/>
    <mergeCell ref="N334:N335"/>
    <mergeCell ref="O334:O335"/>
    <mergeCell ref="N433:O433"/>
    <mergeCell ref="N434:O434"/>
    <mergeCell ref="N435:O435"/>
    <mergeCell ref="N436:O436"/>
    <mergeCell ref="N437:O437"/>
    <mergeCell ref="M346:M347"/>
    <mergeCell ref="N346:N347"/>
    <mergeCell ref="O346:O347"/>
    <mergeCell ref="C344:C345"/>
    <mergeCell ref="C342:C343"/>
    <mergeCell ref="D342:D343"/>
    <mergeCell ref="E342:E343"/>
    <mergeCell ref="F342:F343"/>
    <mergeCell ref="G342:G343"/>
    <mergeCell ref="H342:H343"/>
    <mergeCell ref="M342:M343"/>
    <mergeCell ref="N342:N343"/>
  </mergeCells>
  <phoneticPr fontId="8" type="noConversion"/>
  <pageMargins left="0.7" right="0.7" top="0.75" bottom="0.75" header="0.3" footer="0.3"/>
  <pageSetup paperSize="8" scale="86" fitToHeight="0" orientation="landscape" r:id="rId1"/>
  <ignoredErrors>
    <ignoredError sqref="D3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D6A3-F72A-4EE5-B845-44B67D42C538}">
  <sheetPr>
    <pageSetUpPr fitToPage="1"/>
  </sheetPr>
  <dimension ref="A1:P48"/>
  <sheetViews>
    <sheetView workbookViewId="0">
      <selection activeCell="G18" sqref="G18"/>
    </sheetView>
  </sheetViews>
  <sheetFormatPr defaultRowHeight="15" x14ac:dyDescent="0.25"/>
  <cols>
    <col min="1" max="1" width="10.5703125" customWidth="1"/>
    <col min="2" max="2" width="21.7109375" bestFit="1" customWidth="1"/>
    <col min="7" max="7" width="20.85546875" customWidth="1"/>
    <col min="8" max="8" width="16.28515625" customWidth="1"/>
    <col min="9" max="9" width="17.5703125" customWidth="1"/>
  </cols>
  <sheetData>
    <row r="1" spans="1:16" ht="30" customHeight="1" thickBot="1" x14ac:dyDescent="0.3">
      <c r="A1" s="868" t="s">
        <v>76</v>
      </c>
      <c r="B1" s="869"/>
      <c r="C1" s="869"/>
      <c r="D1" s="869"/>
      <c r="E1" s="869"/>
      <c r="F1" s="869"/>
      <c r="G1" s="869"/>
      <c r="H1" s="870"/>
      <c r="L1" s="517"/>
    </row>
    <row r="2" spans="1:16" ht="40.5" customHeight="1" thickTop="1" x14ac:dyDescent="0.25">
      <c r="A2" s="873" t="s">
        <v>77</v>
      </c>
      <c r="B2" s="874"/>
      <c r="C2" s="226" t="s">
        <v>29</v>
      </c>
      <c r="D2" s="227" t="s">
        <v>30</v>
      </c>
      <c r="E2" s="227" t="s">
        <v>31</v>
      </c>
      <c r="F2" s="227" t="s">
        <v>65</v>
      </c>
      <c r="G2" s="228" t="s">
        <v>80</v>
      </c>
      <c r="H2" s="229" t="s">
        <v>81</v>
      </c>
      <c r="J2" s="858" t="s">
        <v>85</v>
      </c>
      <c r="K2" s="859"/>
      <c r="L2" s="859"/>
      <c r="M2" s="859"/>
      <c r="N2" s="859"/>
      <c r="O2" s="859"/>
      <c r="P2" s="860"/>
    </row>
    <row r="3" spans="1:16" x14ac:dyDescent="0.25">
      <c r="A3" s="875" t="s">
        <v>78</v>
      </c>
      <c r="B3" s="876"/>
      <c r="C3" s="223">
        <f>COUNTA('Plot By Plot SoA'!L6:L172)</f>
        <v>8</v>
      </c>
      <c r="D3" s="224">
        <f>COUNTA('Plot By Plot SoA'!M6:M172)</f>
        <v>64</v>
      </c>
      <c r="E3" s="224">
        <f>COUNTA('Plot By Plot SoA'!N6:N172)</f>
        <v>57</v>
      </c>
      <c r="F3" s="224">
        <f>COUNTA('Plot By Plot SoA'!O6:O172)</f>
        <v>13</v>
      </c>
      <c r="G3" s="225">
        <f>SUM(C3:F3)</f>
        <v>142</v>
      </c>
      <c r="H3" s="863">
        <f>SUM(G4/G3)</f>
        <v>972.66996922535191</v>
      </c>
      <c r="J3" s="189"/>
      <c r="K3" s="184" t="s">
        <v>63</v>
      </c>
      <c r="L3" s="518" t="s">
        <v>202</v>
      </c>
      <c r="M3" s="184" t="s">
        <v>83</v>
      </c>
      <c r="N3" s="184" t="s">
        <v>58</v>
      </c>
      <c r="O3" s="185" t="s">
        <v>59</v>
      </c>
      <c r="P3" s="188" t="s">
        <v>55</v>
      </c>
    </row>
    <row r="4" spans="1:16" ht="16.5" x14ac:dyDescent="0.35">
      <c r="A4" s="211"/>
      <c r="B4" s="219" t="s">
        <v>43</v>
      </c>
      <c r="C4" s="215">
        <f>SUM(C5*10.7639)</f>
        <v>4262.5044000000007</v>
      </c>
      <c r="D4" s="206">
        <f>SUM(D5*10.7639)</f>
        <v>55958.286929999995</v>
      </c>
      <c r="E4" s="206">
        <f>SUM(E5*10.7639)</f>
        <v>59123.949919999977</v>
      </c>
      <c r="F4" s="206">
        <f>SUM(F5*10.7639)</f>
        <v>18774.394380000002</v>
      </c>
      <c r="G4" s="207">
        <f>SUM(C4:F4)</f>
        <v>138119.13562999998</v>
      </c>
      <c r="H4" s="864"/>
      <c r="J4" s="180" t="s">
        <v>29</v>
      </c>
      <c r="K4" s="230" cm="1">
        <f t="array" ref="K4">SUM(IF(('Plot By Plot SoA'!F6:F172="Y")*('Plot By Plot SoA'!L6:L172="Y"),1,0))</f>
        <v>0</v>
      </c>
      <c r="L4" s="516"/>
      <c r="M4" s="230" cm="1">
        <f t="array" ref="M4">SUM(IF(('Plot By Plot SoA'!H6:H172="Y")*('Plot By Plot SoA'!L6:L172="Y"),1,0))</f>
        <v>8</v>
      </c>
      <c r="N4" s="230" cm="1">
        <f t="array" ref="N4">SUM(IF(('Plot By Plot SoA'!I6:I172="Y")*('Plot By Plot SoA'!L6:L172="Y"),1,0))</f>
        <v>0</v>
      </c>
      <c r="O4" s="231" cm="1">
        <f t="array" ref="O4">SUM(IF(('Plot By Plot SoA'!J6:J172="Y")*('Plot By Plot SoA'!L6:L172="Y"),1,0))</f>
        <v>0</v>
      </c>
      <c r="P4" s="236">
        <f>SUM(K4:O4)</f>
        <v>8</v>
      </c>
    </row>
    <row r="5" spans="1:16" ht="16.5" x14ac:dyDescent="0.35">
      <c r="A5" s="211"/>
      <c r="B5" s="220" t="s">
        <v>42</v>
      </c>
      <c r="C5" s="216">
        <f>SUMIF('Plot By Plot SoA'!L6:L172,"Y",'Plot By Plot SoA'!D6:D172)</f>
        <v>396.00000000000006</v>
      </c>
      <c r="D5" s="208">
        <f>SUMIF('Plot By Plot SoA'!M6:M172,"Y",'Plot By Plot SoA'!D6:D172)</f>
        <v>5198.7</v>
      </c>
      <c r="E5" s="208">
        <f>SUMIF('Plot By Plot SoA'!N6:N172,"Y",'Plot By Plot SoA'!D6:D172)</f>
        <v>5492.7999999999984</v>
      </c>
      <c r="F5" s="208">
        <f>SUMIF('Plot By Plot SoA'!O6:O172,"Y",'Plot By Plot SoA'!D6:D172)</f>
        <v>1744.2000000000003</v>
      </c>
      <c r="G5" s="209">
        <f>SUM(C5:F5)</f>
        <v>12831.699999999999</v>
      </c>
      <c r="H5" s="864"/>
      <c r="J5" s="180" t="s">
        <v>30</v>
      </c>
      <c r="K5" s="230" cm="1">
        <f t="array" ref="K5">SUM(IF(('Plot By Plot SoA'!F6:F172="Y")*('Plot By Plot SoA'!M6:M172="Y"),1,0))</f>
        <v>44</v>
      </c>
      <c r="M5" s="230" cm="1">
        <f t="array" ref="M5">SUM(IF(('Plot By Plot SoA'!H6:H172="Y")*('Plot By Plot SoA'!M6:M172="Y"),1,0))</f>
        <v>17</v>
      </c>
      <c r="N5" s="230" cm="1">
        <f t="array" ref="N5">SUM(IF(('Plot By Plot SoA'!I6:I172="Y")*('Plot By Plot SoA'!M6:M172="Y"),1,0))</f>
        <v>0</v>
      </c>
      <c r="O5" s="232" cm="1">
        <f t="array" ref="O5">SUM(IF(('Plot By Plot SoA'!J6:J172="Y")*('Plot By Plot SoA'!M6:M172="Y"),1,0))</f>
        <v>0</v>
      </c>
      <c r="P5" s="236">
        <f>SUM(K5:O5)</f>
        <v>61</v>
      </c>
    </row>
    <row r="6" spans="1:16" ht="16.5" x14ac:dyDescent="0.35">
      <c r="A6" s="211"/>
      <c r="B6" s="221" t="s">
        <v>84</v>
      </c>
      <c r="C6" s="217">
        <f>SUM(C4/C3)</f>
        <v>532.81305000000009</v>
      </c>
      <c r="D6" s="210">
        <f>SUM(D4/D3)</f>
        <v>874.34823328124992</v>
      </c>
      <c r="E6" s="210">
        <f>SUM(E4/E3)</f>
        <v>1037.2622792982452</v>
      </c>
      <c r="F6" s="210">
        <f>SUM(F4/F3)</f>
        <v>1444.1841830769231</v>
      </c>
      <c r="G6" s="205" t="s">
        <v>82</v>
      </c>
      <c r="H6" s="864"/>
      <c r="J6" s="180" t="s">
        <v>31</v>
      </c>
      <c r="K6" s="230" cm="1">
        <f t="array" ref="K6">SUM(IF(('Plot By Plot SoA'!F6:F172="Y")*('Plot By Plot SoA'!N6:N172="Y"),1,0))</f>
        <v>41</v>
      </c>
      <c r="M6" s="230" cm="1">
        <f t="array" ref="M6">SUM(IF(('Plot By Plot SoA'!H6:H172="Y")*('Plot By Plot SoA'!N6:N172="Y"),1,0))</f>
        <v>16</v>
      </c>
      <c r="N6" s="230" cm="1">
        <f t="array" ref="N6">SUM(IF(('Plot By Plot SoA'!I6:I172="Y")*('Plot By Plot SoA'!N6:N172="Y"),1,0))</f>
        <v>0</v>
      </c>
      <c r="O6" s="232" cm="1">
        <f t="array" ref="O6">SUM(IF(('Plot By Plot SoA'!J6:J172="Y")*('Plot By Plot SoA'!N6:N172="Y"),1,0))</f>
        <v>0</v>
      </c>
      <c r="P6" s="236">
        <f>SUM(K6:O6)</f>
        <v>57</v>
      </c>
    </row>
    <row r="7" spans="1:16" ht="17.25" thickBot="1" x14ac:dyDescent="0.4">
      <c r="A7" s="212"/>
      <c r="B7" s="222" t="s">
        <v>79</v>
      </c>
      <c r="C7" s="218">
        <f>SUM(C5/C3)</f>
        <v>49.500000000000007</v>
      </c>
      <c r="D7" s="213">
        <f>SUM(D5/D3)</f>
        <v>81.229687499999997</v>
      </c>
      <c r="E7" s="213">
        <f>SUM(E5/E3)</f>
        <v>96.364912280701731</v>
      </c>
      <c r="F7" s="213">
        <f>SUM(F5/F3)</f>
        <v>134.16923076923078</v>
      </c>
      <c r="G7" s="214" t="s">
        <v>82</v>
      </c>
      <c r="H7" s="865"/>
      <c r="J7" s="190" t="s">
        <v>65</v>
      </c>
      <c r="K7" s="233" cm="1">
        <f t="array" ref="K7">SUM(IF(('Plot By Plot SoA'!F6:F172="Y")*('Plot By Plot SoA'!O6:O172="Y"),1,0))</f>
        <v>13</v>
      </c>
      <c r="M7" s="234" cm="1">
        <f t="array" ref="M7">SUM(IF(('Plot By Plot SoA'!H6:H172="Y")*('Plot By Plot SoA'!O6:O172="Y"),1,0))</f>
        <v>0</v>
      </c>
      <c r="N7" s="234" cm="1">
        <f t="array" ref="N7">SUM(IF(('Plot By Plot SoA'!I6:I172="Y")*('Plot By Plot SoA'!O6:O172="Y"),1,0))</f>
        <v>0</v>
      </c>
      <c r="O7" s="235" cm="1">
        <f t="array" ref="O7">SUM(IF(('Plot By Plot SoA'!J6:J172="Y")*('Plot By Plot SoA'!O6:O172="Y"),1,0))</f>
        <v>0</v>
      </c>
      <c r="P7" s="236">
        <f>SUM(K7:O7)</f>
        <v>13</v>
      </c>
    </row>
    <row r="8" spans="1:16" ht="15.75" thickBot="1" x14ac:dyDescent="0.3">
      <c r="A8" s="866"/>
      <c r="B8" s="866"/>
      <c r="C8" s="866"/>
      <c r="D8" s="866"/>
      <c r="E8" s="866"/>
      <c r="F8" s="866"/>
      <c r="G8" s="866"/>
      <c r="H8" s="866"/>
      <c r="J8" s="181" t="s">
        <v>55</v>
      </c>
      <c r="K8" s="238">
        <f>SUM(K4:K7)</f>
        <v>98</v>
      </c>
      <c r="L8" s="519">
        <f>SUM(L4:L7)</f>
        <v>0</v>
      </c>
      <c r="M8" s="238">
        <f>SUM(M4:M7)</f>
        <v>41</v>
      </c>
      <c r="N8" s="238">
        <f>SUM(N4:N7)</f>
        <v>0</v>
      </c>
      <c r="O8" s="238">
        <f>SUM(O4:O7)</f>
        <v>0</v>
      </c>
      <c r="P8" s="237">
        <f>SUM(K8:O8)</f>
        <v>139</v>
      </c>
    </row>
    <row r="9" spans="1:16" x14ac:dyDescent="0.25">
      <c r="A9" s="867"/>
      <c r="B9" s="867"/>
      <c r="C9" s="867"/>
      <c r="D9" s="867"/>
      <c r="E9" s="867"/>
      <c r="F9" s="867"/>
      <c r="G9" s="867"/>
      <c r="H9" s="867"/>
    </row>
    <row r="10" spans="1:16" x14ac:dyDescent="0.25">
      <c r="A10" s="867"/>
      <c r="B10" s="867"/>
      <c r="C10" s="867"/>
      <c r="D10" s="867"/>
      <c r="E10" s="867"/>
      <c r="F10" s="867"/>
      <c r="G10" s="867"/>
      <c r="H10" s="867"/>
    </row>
    <row r="11" spans="1:16" x14ac:dyDescent="0.25">
      <c r="A11" s="867"/>
      <c r="B11" s="867"/>
      <c r="C11" s="867"/>
      <c r="D11" s="867"/>
      <c r="E11" s="867"/>
      <c r="F11" s="867"/>
      <c r="G11" s="867"/>
      <c r="H11" s="867"/>
    </row>
    <row r="13" spans="1:16" ht="15.75" thickBot="1" x14ac:dyDescent="0.3"/>
    <row r="14" spans="1:16" ht="26.25" customHeight="1" thickBot="1" x14ac:dyDescent="0.3">
      <c r="A14" s="868" t="s">
        <v>88</v>
      </c>
      <c r="B14" s="869"/>
      <c r="C14" s="869"/>
      <c r="D14" s="869"/>
      <c r="E14" s="869"/>
      <c r="F14" s="869"/>
      <c r="G14" s="869"/>
      <c r="H14" s="870"/>
    </row>
    <row r="15" spans="1:16" ht="40.5" customHeight="1" thickTop="1" x14ac:dyDescent="0.25">
      <c r="A15" s="873" t="s">
        <v>77</v>
      </c>
      <c r="B15" s="874"/>
      <c r="C15" s="226" t="s">
        <v>29</v>
      </c>
      <c r="D15" s="227" t="s">
        <v>30</v>
      </c>
      <c r="E15" s="227" t="s">
        <v>31</v>
      </c>
      <c r="F15" s="227" t="s">
        <v>65</v>
      </c>
      <c r="G15" s="228" t="s">
        <v>80</v>
      </c>
      <c r="H15" s="229" t="s">
        <v>81</v>
      </c>
      <c r="J15" s="858" t="s">
        <v>87</v>
      </c>
      <c r="K15" s="859"/>
      <c r="L15" s="859"/>
      <c r="M15" s="859"/>
      <c r="N15" s="859"/>
      <c r="O15" s="859"/>
      <c r="P15" s="860"/>
    </row>
    <row r="16" spans="1:16" x14ac:dyDescent="0.25">
      <c r="A16" s="875" t="s">
        <v>86</v>
      </c>
      <c r="B16" s="876"/>
      <c r="C16" s="223">
        <f>COUNTA('Plot By Plot SoA'!L173:L353)</f>
        <v>131</v>
      </c>
      <c r="D16" s="224">
        <f>COUNTA('Plot By Plot SoA'!M173:M353)</f>
        <v>32</v>
      </c>
      <c r="E16" s="224">
        <f>COUNTA('Plot By Plot SoA'!N173:N353)</f>
        <v>12</v>
      </c>
      <c r="F16" s="224">
        <f>COUNTA('Plot By Plot SoA'!O173:O353)</f>
        <v>0</v>
      </c>
      <c r="G16" s="239">
        <f>SUM(C16:F16)</f>
        <v>175</v>
      </c>
      <c r="H16" s="863">
        <f>SUM(G17/G16)</f>
        <v>606.62264999999957</v>
      </c>
      <c r="J16" s="189"/>
      <c r="K16" s="184" t="s">
        <v>63</v>
      </c>
      <c r="L16" s="518" t="s">
        <v>202</v>
      </c>
      <c r="M16" s="184" t="s">
        <v>83</v>
      </c>
      <c r="N16" s="184" t="s">
        <v>58</v>
      </c>
      <c r="O16" s="185" t="s">
        <v>59</v>
      </c>
      <c r="P16" s="188" t="s">
        <v>55</v>
      </c>
    </row>
    <row r="17" spans="1:16" ht="16.5" x14ac:dyDescent="0.35">
      <c r="A17" s="211"/>
      <c r="B17" s="219" t="s">
        <v>43</v>
      </c>
      <c r="C17" s="215">
        <f>SUM(C18*10.7639)</f>
        <v>67746.910209999929</v>
      </c>
      <c r="D17" s="206">
        <f>SUM(D18*10.7639)</f>
        <v>26065.860239999995</v>
      </c>
      <c r="E17" s="206">
        <f>SUM(E18*10.7639)</f>
        <v>12346.193300000003</v>
      </c>
      <c r="F17" s="206">
        <f>SUM(F18*10.7639)</f>
        <v>0</v>
      </c>
      <c r="G17" s="240">
        <f>SUM(C17:F17)</f>
        <v>106158.96374999992</v>
      </c>
      <c r="H17" s="864"/>
      <c r="J17" s="180" t="s">
        <v>29</v>
      </c>
      <c r="K17" s="230" cm="1">
        <f t="array" ref="K17">SUM(IF(('Plot By Plot SoA'!F173:F353="Y")*('Plot By Plot SoA'!L173:L353="Y"),1,0))</f>
        <v>0</v>
      </c>
      <c r="L17" s="516"/>
      <c r="M17" s="230" cm="1">
        <f t="array" ref="M17">SUM(IF(('Plot By Plot SoA'!H173:H353="Y")*('Plot By Plot SoA'!L173:L353="Y"),1,0))</f>
        <v>11</v>
      </c>
      <c r="N17" s="230" cm="1">
        <f t="array" ref="N17">SUM(IF(('Plot By Plot SoA'!I173:I353="Y")*('Plot By Plot SoA'!L173:L353="Y"),1,0))</f>
        <v>6</v>
      </c>
      <c r="O17" s="231" cm="1">
        <f t="array" ref="O17">SUM(IF(('Plot By Plot SoA'!J173:J353="Y")*('Plot By Plot SoA'!L173:L353="Y"),1,0))</f>
        <v>114</v>
      </c>
      <c r="P17" s="236">
        <f>SUM(K17:O17)</f>
        <v>131</v>
      </c>
    </row>
    <row r="18" spans="1:16" ht="16.5" x14ac:dyDescent="0.35">
      <c r="A18" s="211"/>
      <c r="B18" s="220" t="s">
        <v>42</v>
      </c>
      <c r="C18" s="216">
        <f>SUMIF('Plot By Plot SoA'!L173:L353,"Y",'Plot By Plot SoA'!D173:D353)</f>
        <v>6293.8999999999942</v>
      </c>
      <c r="D18" s="208">
        <f>SUMIF('Plot By Plot SoA'!M173:M353,"Y",'Plot By Plot SoA'!D173:D353)</f>
        <v>2421.5999999999995</v>
      </c>
      <c r="E18" s="208">
        <f>SUMIF('Plot By Plot SoA'!N173:N353,"Y",'Plot By Plot SoA'!D173:D353)</f>
        <v>1147.0000000000002</v>
      </c>
      <c r="F18" s="208">
        <f>SUMIF('Plot By Plot SoA'!O173:O353,"Y",'Plot By Plot SoA'!D173:D353)</f>
        <v>0</v>
      </c>
      <c r="G18" s="241">
        <f>SUM(C18:F18)</f>
        <v>9862.4999999999927</v>
      </c>
      <c r="H18" s="864"/>
      <c r="J18" s="180" t="s">
        <v>30</v>
      </c>
      <c r="K18" s="230" cm="1">
        <f t="array" ref="K18">SUM(IF(('Plot By Plot SoA'!F173:F353="Y")*('Plot By Plot SoA'!M173:M353="Y"),1,0))</f>
        <v>0</v>
      </c>
      <c r="M18" s="230" cm="1">
        <f t="array" ref="M18">SUM(IF(('Plot By Plot SoA'!H173:H353="Y")*('Plot By Plot SoA'!M173:M353="Y"),1,0))</f>
        <v>6</v>
      </c>
      <c r="N18" s="230" cm="1">
        <f t="array" ref="N18">SUM(IF(('Plot By Plot SoA'!I173:I353="Y")*('Plot By Plot SoA'!M173:M353="Y"),1,0))</f>
        <v>20</v>
      </c>
      <c r="O18" s="232" cm="1">
        <f t="array" ref="O18">SUM(IF(('Plot By Plot SoA'!J173:J353="Y")*('Plot By Plot SoA'!M173:M353="Y"),1,0))</f>
        <v>6</v>
      </c>
      <c r="P18" s="236">
        <f>SUM(K18:O18)</f>
        <v>32</v>
      </c>
    </row>
    <row r="19" spans="1:16" ht="16.5" x14ac:dyDescent="0.35">
      <c r="A19" s="211"/>
      <c r="B19" s="221" t="s">
        <v>84</v>
      </c>
      <c r="C19" s="217">
        <f>SUM(C17/C16)</f>
        <v>517.15198633587727</v>
      </c>
      <c r="D19" s="210">
        <f>SUM(D17/D16)</f>
        <v>814.55813249999983</v>
      </c>
      <c r="E19" s="210">
        <f>SUM(E17/E16)</f>
        <v>1028.849441666667</v>
      </c>
      <c r="F19" s="210" t="s">
        <v>82</v>
      </c>
      <c r="G19" s="242" t="s">
        <v>82</v>
      </c>
      <c r="H19" s="864"/>
      <c r="J19" s="180" t="s">
        <v>31</v>
      </c>
      <c r="K19" s="230" cm="1">
        <f t="array" ref="K19">SUM(IF(('Plot By Plot SoA'!F173:F353="Y")*('Plot By Plot SoA'!N173:N353="Y"),1,0))</f>
        <v>6</v>
      </c>
      <c r="M19" s="230" cm="1">
        <f t="array" ref="M19">SUM(IF(('Plot By Plot SoA'!H173:H353="Y")*('Plot By Plot SoA'!N173:N353="Y"),1,0))</f>
        <v>2</v>
      </c>
      <c r="N19" s="230" cm="1">
        <f t="array" ref="N19">SUM(IF(('Plot By Plot SoA'!I173:I353="Y")*('Plot By Plot SoA'!N173:N353="Y"),1,0))</f>
        <v>2</v>
      </c>
      <c r="O19" s="232" cm="1">
        <f t="array" ref="O19">SUM(IF(('Plot By Plot SoA'!J173:J353="Y")*('Plot By Plot SoA'!N173:N353="Y"),1,0))</f>
        <v>2</v>
      </c>
      <c r="P19" s="236">
        <f>SUM(K19:O19)</f>
        <v>12</v>
      </c>
    </row>
    <row r="20" spans="1:16" ht="17.25" thickBot="1" x14ac:dyDescent="0.4">
      <c r="A20" s="212"/>
      <c r="B20" s="222" t="s">
        <v>79</v>
      </c>
      <c r="C20" s="218">
        <f>SUM(C18/C16)</f>
        <v>48.045038167938884</v>
      </c>
      <c r="D20" s="213">
        <f>SUM(D18/D16)</f>
        <v>75.674999999999983</v>
      </c>
      <c r="E20" s="213">
        <f>SUM(E18/E16)</f>
        <v>95.583333333333357</v>
      </c>
      <c r="F20" s="213" t="s">
        <v>82</v>
      </c>
      <c r="G20" s="243" t="s">
        <v>82</v>
      </c>
      <c r="H20" s="865"/>
      <c r="J20" s="190" t="s">
        <v>65</v>
      </c>
      <c r="K20" s="233" cm="1">
        <f t="array" ref="K20">SUM(IF(('Plot By Plot SoA'!F173:F353="Y")*('Plot By Plot SoA'!O173:O353="Y"),1,0))</f>
        <v>0</v>
      </c>
      <c r="M20" s="234" cm="1">
        <f t="array" ref="M20">SUM(IF(('Plot By Plot SoA'!H173:H353="Y")*('Plot By Plot SoA'!O173:O353="Y"),1,0))</f>
        <v>0</v>
      </c>
      <c r="N20" s="234" cm="1">
        <f t="array" ref="N20">SUM(IF(('Plot By Plot SoA'!I173:I353="Y")*('Plot By Plot SoA'!O173:O353="Y"),1,0))</f>
        <v>0</v>
      </c>
      <c r="O20" s="235" cm="1">
        <f t="array" ref="O20">SUM(IF(('Plot By Plot SoA'!J173:J353="Y")*('Plot By Plot SoA'!O173:O353="Y"),1,0))</f>
        <v>0</v>
      </c>
      <c r="P20" s="236">
        <f>SUM(K20:O20)</f>
        <v>0</v>
      </c>
    </row>
    <row r="21" spans="1:16" ht="15.75" thickBot="1" x14ac:dyDescent="0.3">
      <c r="A21" s="866"/>
      <c r="B21" s="866"/>
      <c r="C21" s="866"/>
      <c r="D21" s="866"/>
      <c r="E21" s="866"/>
      <c r="F21" s="866"/>
      <c r="G21" s="866"/>
      <c r="H21" s="866"/>
      <c r="J21" s="181" t="s">
        <v>55</v>
      </c>
      <c r="K21" s="238">
        <f>SUM(K17:K20)</f>
        <v>6</v>
      </c>
      <c r="L21" s="519">
        <f>SUM(L17:L20)</f>
        <v>0</v>
      </c>
      <c r="M21" s="238">
        <f>SUM(M17:M20)</f>
        <v>19</v>
      </c>
      <c r="N21" s="238">
        <f>SUM(N17:N20)</f>
        <v>28</v>
      </c>
      <c r="O21" s="238">
        <f>SUM(O17:O20)</f>
        <v>122</v>
      </c>
      <c r="P21" s="237">
        <f>SUM(K21:O21)</f>
        <v>175</v>
      </c>
    </row>
    <row r="22" spans="1:16" x14ac:dyDescent="0.25">
      <c r="A22" s="867"/>
      <c r="B22" s="867"/>
      <c r="C22" s="867"/>
      <c r="D22" s="867"/>
      <c r="E22" s="867"/>
      <c r="F22" s="867"/>
      <c r="G22" s="867"/>
      <c r="H22" s="867"/>
    </row>
    <row r="23" spans="1:16" x14ac:dyDescent="0.25">
      <c r="A23" s="867"/>
      <c r="B23" s="867"/>
      <c r="C23" s="867"/>
      <c r="D23" s="867"/>
      <c r="E23" s="867"/>
      <c r="F23" s="867"/>
      <c r="G23" s="867"/>
      <c r="H23" s="867"/>
    </row>
    <row r="24" spans="1:16" x14ac:dyDescent="0.25">
      <c r="A24" s="867"/>
      <c r="B24" s="867"/>
      <c r="C24" s="867"/>
      <c r="D24" s="867"/>
      <c r="E24" s="867"/>
      <c r="F24" s="867"/>
      <c r="G24" s="867"/>
      <c r="H24" s="867"/>
    </row>
    <row r="26" spans="1:16" ht="15.75" thickBot="1" x14ac:dyDescent="0.3"/>
    <row r="27" spans="1:16" ht="17.25" thickBot="1" x14ac:dyDescent="0.3">
      <c r="A27" s="868" t="s">
        <v>91</v>
      </c>
      <c r="B27" s="869"/>
      <c r="C27" s="869"/>
      <c r="D27" s="869"/>
      <c r="E27" s="869"/>
      <c r="F27" s="869"/>
      <c r="G27" s="869"/>
      <c r="H27" s="870"/>
    </row>
    <row r="28" spans="1:16" ht="31.5" thickTop="1" thickBot="1" x14ac:dyDescent="0.3">
      <c r="A28" s="871" t="s">
        <v>77</v>
      </c>
      <c r="B28" s="872"/>
      <c r="C28" s="226" t="s">
        <v>29</v>
      </c>
      <c r="D28" s="227" t="s">
        <v>30</v>
      </c>
      <c r="E28" s="227" t="s">
        <v>31</v>
      </c>
      <c r="F28" s="227" t="s">
        <v>65</v>
      </c>
      <c r="G28" s="228" t="s">
        <v>80</v>
      </c>
      <c r="H28" s="229" t="s">
        <v>81</v>
      </c>
      <c r="J28" s="689" t="s">
        <v>53</v>
      </c>
      <c r="K28" s="690"/>
      <c r="L28" s="690"/>
      <c r="M28" s="690"/>
      <c r="N28" s="690"/>
      <c r="O28" s="690"/>
      <c r="P28" s="691"/>
    </row>
    <row r="29" spans="1:16" x14ac:dyDescent="0.25">
      <c r="A29" s="861" t="s">
        <v>89</v>
      </c>
      <c r="B29" s="862"/>
      <c r="C29" s="223">
        <f>SUM(C16+C3)</f>
        <v>139</v>
      </c>
      <c r="D29" s="224">
        <f>SUM(D16+D3)</f>
        <v>96</v>
      </c>
      <c r="E29" s="224">
        <f>SUM(E16+E3)</f>
        <v>69</v>
      </c>
      <c r="F29" s="224">
        <f>SUM(F16+F3)</f>
        <v>13</v>
      </c>
      <c r="G29" s="239">
        <f>SUM(C29:F29)</f>
        <v>317</v>
      </c>
      <c r="H29" s="863">
        <f>SUM(G30/G29)</f>
        <v>770.59337343848551</v>
      </c>
      <c r="J29" s="190"/>
      <c r="K29" s="186" t="s">
        <v>63</v>
      </c>
      <c r="L29" s="430" t="s">
        <v>202</v>
      </c>
      <c r="M29" s="513" t="s">
        <v>83</v>
      </c>
      <c r="N29" s="186" t="s">
        <v>58</v>
      </c>
      <c r="O29" s="187" t="s">
        <v>59</v>
      </c>
      <c r="P29" s="428" t="s">
        <v>55</v>
      </c>
    </row>
    <row r="30" spans="1:16" ht="16.5" x14ac:dyDescent="0.35">
      <c r="A30" s="211"/>
      <c r="B30" s="219" t="s">
        <v>43</v>
      </c>
      <c r="C30" s="215">
        <f>SUM(C31*10.7639)</f>
        <v>72009.414609999934</v>
      </c>
      <c r="D30" s="206">
        <f>SUM(D31*10.7639)</f>
        <v>82024.147169999982</v>
      </c>
      <c r="E30" s="206">
        <f>SUM(E31*10.7639)</f>
        <v>71470.143219999984</v>
      </c>
      <c r="F30" s="206">
        <f>SUM(F31*10.7639)</f>
        <v>18774.394380000002</v>
      </c>
      <c r="G30" s="240">
        <f>SUM(C30:F30)</f>
        <v>244278.09937999991</v>
      </c>
      <c r="H30" s="864"/>
      <c r="J30" s="180" t="s">
        <v>29</v>
      </c>
      <c r="K30" s="128">
        <f>'Plot By Plot SoA'!V7</f>
        <v>0</v>
      </c>
      <c r="L30" s="128">
        <f>'Plot By Plot SoA'!W7</f>
        <v>0</v>
      </c>
      <c r="M30" s="128">
        <f>'Plot By Plot SoA'!X7</f>
        <v>19</v>
      </c>
      <c r="N30" s="128">
        <f>'Plot By Plot SoA'!Y7</f>
        <v>6</v>
      </c>
      <c r="O30" s="128">
        <f>'Plot By Plot SoA'!Z7</f>
        <v>114</v>
      </c>
      <c r="P30" s="514">
        <f>SUM(K30:O30)</f>
        <v>139</v>
      </c>
    </row>
    <row r="31" spans="1:16" ht="16.5" x14ac:dyDescent="0.35">
      <c r="A31" s="211"/>
      <c r="B31" s="220" t="s">
        <v>42</v>
      </c>
      <c r="C31" s="216">
        <f>SUM(C18+C5)</f>
        <v>6689.8999999999942</v>
      </c>
      <c r="D31" s="208">
        <f>SUM(D18+D5)</f>
        <v>7620.2999999999993</v>
      </c>
      <c r="E31" s="208">
        <f>SUM(E18+E5)</f>
        <v>6639.7999999999984</v>
      </c>
      <c r="F31" s="208">
        <f>SUM(F18+F5)</f>
        <v>1744.2000000000003</v>
      </c>
      <c r="G31" s="241">
        <f>SUM(C31:F31)</f>
        <v>22694.199999999993</v>
      </c>
      <c r="H31" s="864"/>
      <c r="J31" s="180" t="s">
        <v>30</v>
      </c>
      <c r="K31" s="128">
        <f>'Plot By Plot SoA'!V8</f>
        <v>44</v>
      </c>
      <c r="L31" s="128">
        <f>'Plot By Plot SoA'!W8</f>
        <v>3</v>
      </c>
      <c r="M31" s="128">
        <f>'Plot By Plot SoA'!X8</f>
        <v>23</v>
      </c>
      <c r="N31" s="128">
        <f>'Plot By Plot SoA'!Y8</f>
        <v>20</v>
      </c>
      <c r="O31" s="128">
        <f>'Plot By Plot SoA'!Z8</f>
        <v>6</v>
      </c>
      <c r="P31" s="515">
        <f>SUM(K31:O31)</f>
        <v>96</v>
      </c>
    </row>
    <row r="32" spans="1:16" ht="16.5" x14ac:dyDescent="0.35">
      <c r="A32" s="211"/>
      <c r="B32" s="221" t="s">
        <v>84</v>
      </c>
      <c r="C32" s="217">
        <f>SUM(C30/C29)</f>
        <v>518.05334251798513</v>
      </c>
      <c r="D32" s="210">
        <f>SUM(D30/D29)</f>
        <v>854.41819968749985</v>
      </c>
      <c r="E32" s="210">
        <f>SUM(E30/E29)</f>
        <v>1035.799177101449</v>
      </c>
      <c r="F32" s="210">
        <f>SUM(F30/F29)</f>
        <v>1444.1841830769231</v>
      </c>
      <c r="G32" s="242" t="s">
        <v>82</v>
      </c>
      <c r="H32" s="864"/>
      <c r="J32" s="180" t="s">
        <v>31</v>
      </c>
      <c r="K32" s="128">
        <f>'Plot By Plot SoA'!V9</f>
        <v>47</v>
      </c>
      <c r="L32" s="128">
        <f>'Plot By Plot SoA'!W9</f>
        <v>0</v>
      </c>
      <c r="M32" s="128">
        <f>'Plot By Plot SoA'!X9</f>
        <v>18</v>
      </c>
      <c r="N32" s="128">
        <f>'Plot By Plot SoA'!Y9</f>
        <v>2</v>
      </c>
      <c r="O32" s="93">
        <f>'Plot By Plot SoA'!Z9</f>
        <v>2</v>
      </c>
      <c r="P32" s="94">
        <f>SUM(K32:O32)</f>
        <v>69</v>
      </c>
    </row>
    <row r="33" spans="1:16" ht="17.25" thickBot="1" x14ac:dyDescent="0.4">
      <c r="A33" s="212"/>
      <c r="B33" s="222" t="s">
        <v>79</v>
      </c>
      <c r="C33" s="218">
        <f>SUM(C31/C29)</f>
        <v>48.128776978417221</v>
      </c>
      <c r="D33" s="213">
        <f>SUM(D31/D29)</f>
        <v>79.378124999999997</v>
      </c>
      <c r="E33" s="213">
        <f>SUM(E31/E29)</f>
        <v>96.22898550724635</v>
      </c>
      <c r="F33" s="213">
        <f>SUM(F31/F29)</f>
        <v>134.16923076923078</v>
      </c>
      <c r="G33" s="243" t="s">
        <v>82</v>
      </c>
      <c r="H33" s="865"/>
      <c r="J33" s="190" t="s">
        <v>65</v>
      </c>
      <c r="K33" s="193">
        <f>'Plot By Plot SoA'!V10</f>
        <v>13</v>
      </c>
      <c r="L33" s="186">
        <f>'Plot By Plot SoA'!W10</f>
        <v>0</v>
      </c>
      <c r="M33" s="186">
        <f>'Plot By Plot SoA'!X10</f>
        <v>0</v>
      </c>
      <c r="N33" s="186">
        <f>'Plot By Plot SoA'!Y10</f>
        <v>0</v>
      </c>
      <c r="O33" s="186">
        <f>'Plot By Plot SoA'!Z10</f>
        <v>0</v>
      </c>
      <c r="P33" s="197">
        <f>SUM(K33:O33)</f>
        <v>13</v>
      </c>
    </row>
    <row r="34" spans="1:16" ht="15.75" thickBot="1" x14ac:dyDescent="0.3">
      <c r="A34" s="866"/>
      <c r="B34" s="866"/>
      <c r="C34" s="866"/>
      <c r="D34" s="866"/>
      <c r="E34" s="866"/>
      <c r="F34" s="866"/>
      <c r="G34" s="866"/>
      <c r="H34" s="866"/>
      <c r="J34" s="181" t="s">
        <v>55</v>
      </c>
      <c r="K34" s="179">
        <f>SUM(K30:K33)</f>
        <v>104</v>
      </c>
      <c r="L34" s="179">
        <f>SUM(L30:L33)</f>
        <v>3</v>
      </c>
      <c r="M34" s="179">
        <f>SUM(M30:M33)</f>
        <v>60</v>
      </c>
      <c r="N34" s="179">
        <f>SUM(N30:N33)</f>
        <v>28</v>
      </c>
      <c r="O34" s="179">
        <f>SUM(O30:O33)</f>
        <v>122</v>
      </c>
      <c r="P34" s="178">
        <f>SUM(K34:O34)</f>
        <v>317</v>
      </c>
    </row>
    <row r="35" spans="1:16" x14ac:dyDescent="0.25">
      <c r="A35" s="867"/>
      <c r="B35" s="867"/>
      <c r="C35" s="867"/>
      <c r="D35" s="867"/>
      <c r="E35" s="867"/>
      <c r="F35" s="867"/>
      <c r="G35" s="867"/>
      <c r="H35" s="867"/>
    </row>
    <row r="36" spans="1:16" x14ac:dyDescent="0.25">
      <c r="A36" s="867"/>
      <c r="B36" s="867"/>
      <c r="C36" s="867"/>
      <c r="D36" s="867"/>
      <c r="E36" s="867"/>
      <c r="F36" s="867"/>
      <c r="G36" s="867"/>
      <c r="H36" s="867"/>
    </row>
    <row r="37" spans="1:16" x14ac:dyDescent="0.25">
      <c r="A37" s="867"/>
      <c r="B37" s="867"/>
      <c r="C37" s="867"/>
      <c r="D37" s="867"/>
      <c r="E37" s="867"/>
      <c r="F37" s="867"/>
      <c r="G37" s="867"/>
      <c r="H37" s="867"/>
    </row>
    <row r="42" spans="1:16" x14ac:dyDescent="0.25">
      <c r="J42" s="278"/>
      <c r="K42" s="278"/>
      <c r="L42" s="278"/>
      <c r="M42" s="278"/>
      <c r="N42" s="278"/>
      <c r="O42" s="278"/>
    </row>
    <row r="43" spans="1:16" x14ac:dyDescent="0.25">
      <c r="J43" s="128"/>
      <c r="K43" s="128"/>
      <c r="L43" s="128"/>
      <c r="M43" s="128"/>
      <c r="N43" s="128"/>
      <c r="O43" s="128"/>
    </row>
    <row r="44" spans="1:16" x14ac:dyDescent="0.25">
      <c r="J44" s="128"/>
      <c r="K44" s="128"/>
      <c r="L44" s="128"/>
      <c r="M44" s="128"/>
      <c r="N44" s="128"/>
      <c r="O44" s="128"/>
    </row>
    <row r="45" spans="1:16" x14ac:dyDescent="0.25">
      <c r="J45" s="128"/>
      <c r="K45" s="128"/>
      <c r="L45" s="128"/>
      <c r="M45" s="128"/>
      <c r="N45" s="128"/>
      <c r="O45" s="128"/>
    </row>
    <row r="46" spans="1:16" x14ac:dyDescent="0.25">
      <c r="J46" s="128"/>
      <c r="K46" s="128"/>
      <c r="L46" s="128"/>
      <c r="M46" s="128"/>
      <c r="N46" s="128"/>
      <c r="O46" s="128"/>
    </row>
    <row r="47" spans="1:16" x14ac:dyDescent="0.25">
      <c r="J47" s="128"/>
      <c r="K47" s="128"/>
      <c r="L47" s="128"/>
      <c r="M47" s="128"/>
      <c r="N47" s="128"/>
      <c r="O47" s="128"/>
    </row>
    <row r="48" spans="1:16" x14ac:dyDescent="0.25">
      <c r="J48" s="128"/>
      <c r="K48" s="128"/>
      <c r="L48" s="128"/>
      <c r="M48" s="128"/>
      <c r="N48" s="128"/>
      <c r="O48" s="128"/>
    </row>
  </sheetData>
  <mergeCells count="18">
    <mergeCell ref="A34:H37"/>
    <mergeCell ref="A27:H27"/>
    <mergeCell ref="A28:B28"/>
    <mergeCell ref="A1:H1"/>
    <mergeCell ref="A8:H11"/>
    <mergeCell ref="A15:B15"/>
    <mergeCell ref="A16:B16"/>
    <mergeCell ref="H16:H20"/>
    <mergeCell ref="A2:B2"/>
    <mergeCell ref="A3:B3"/>
    <mergeCell ref="H3:H7"/>
    <mergeCell ref="A21:H24"/>
    <mergeCell ref="A14:H14"/>
    <mergeCell ref="J28:P28"/>
    <mergeCell ref="J2:P2"/>
    <mergeCell ref="J15:P15"/>
    <mergeCell ref="A29:B29"/>
    <mergeCell ref="H29:H33"/>
  </mergeCells>
  <pageMargins left="0.7" right="0.7" top="0.75" bottom="0.75" header="0.3" footer="0.3"/>
  <pageSetup paperSize="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DB09-3DB7-4998-A9C0-096329793345}">
  <sheetPr>
    <pageSetUpPr fitToPage="1"/>
  </sheetPr>
  <dimension ref="A1:O39"/>
  <sheetViews>
    <sheetView workbookViewId="0">
      <selection activeCell="B17" sqref="B17"/>
    </sheetView>
  </sheetViews>
  <sheetFormatPr defaultColWidth="9.140625" defaultRowHeight="16.5" x14ac:dyDescent="0.3"/>
  <cols>
    <col min="1" max="1" width="30.7109375" style="2" customWidth="1"/>
    <col min="2" max="2" width="11.140625" style="2" customWidth="1"/>
    <col min="3" max="3" width="10.7109375" style="2" customWidth="1"/>
    <col min="4" max="4" width="9.140625" style="2"/>
    <col min="5" max="5" width="11.42578125" style="2" customWidth="1"/>
    <col min="6" max="6" width="11.28515625" style="2" customWidth="1"/>
    <col min="7" max="7" width="10.85546875" style="2" customWidth="1"/>
    <col min="8" max="8" width="11.140625" style="2" customWidth="1"/>
    <col min="9" max="9" width="11" style="2" customWidth="1"/>
    <col min="10" max="16384" width="9.140625" style="2"/>
  </cols>
  <sheetData>
    <row r="1" spans="1:14" ht="16.5" customHeight="1" x14ac:dyDescent="0.3">
      <c r="A1" s="889"/>
      <c r="B1" s="882" t="s">
        <v>99</v>
      </c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3"/>
    </row>
    <row r="2" spans="1:14" ht="17.25" customHeight="1" thickBot="1" x14ac:dyDescent="0.35">
      <c r="A2" s="890"/>
      <c r="B2" s="883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5"/>
    </row>
    <row r="3" spans="1:14" x14ac:dyDescent="0.3">
      <c r="A3" s="890"/>
      <c r="B3" s="892" t="s">
        <v>41</v>
      </c>
      <c r="C3" s="712" t="s">
        <v>42</v>
      </c>
      <c r="D3" s="894" t="s">
        <v>43</v>
      </c>
      <c r="E3" s="720" t="s">
        <v>16</v>
      </c>
      <c r="F3" s="720" t="s">
        <v>3</v>
      </c>
      <c r="G3" s="720" t="s">
        <v>17</v>
      </c>
      <c r="H3" s="722" t="s">
        <v>18</v>
      </c>
      <c r="I3" s="884" t="s">
        <v>2</v>
      </c>
      <c r="J3" s="714"/>
      <c r="K3" s="714"/>
      <c r="L3" s="714"/>
      <c r="M3" s="715"/>
    </row>
    <row r="4" spans="1:14" ht="33" customHeight="1" thickBot="1" x14ac:dyDescent="0.35">
      <c r="A4" s="891"/>
      <c r="B4" s="893"/>
      <c r="C4" s="713"/>
      <c r="D4" s="895"/>
      <c r="E4" s="721"/>
      <c r="F4" s="721"/>
      <c r="G4" s="721"/>
      <c r="H4" s="723"/>
      <c r="I4" s="885"/>
      <c r="J4" s="716"/>
      <c r="K4" s="716"/>
      <c r="L4" s="716"/>
      <c r="M4" s="717"/>
    </row>
    <row r="5" spans="1:14" ht="18" thickTop="1" thickBot="1" x14ac:dyDescent="0.35">
      <c r="A5" s="45" t="s">
        <v>44</v>
      </c>
      <c r="B5" s="48"/>
      <c r="C5" s="39"/>
      <c r="D5" s="40"/>
      <c r="E5" s="41"/>
      <c r="F5" s="41"/>
      <c r="G5" s="41"/>
      <c r="H5" s="41"/>
      <c r="I5" s="42">
        <v>1</v>
      </c>
      <c r="J5" s="43">
        <v>2</v>
      </c>
      <c r="K5" s="43">
        <v>3</v>
      </c>
      <c r="L5" s="49">
        <v>4</v>
      </c>
      <c r="M5" s="44">
        <v>5</v>
      </c>
    </row>
    <row r="6" spans="1:14" ht="17.25" x14ac:dyDescent="0.35">
      <c r="A6" s="46" t="s">
        <v>20</v>
      </c>
      <c r="B6" s="50">
        <f>COUNTA('Plot By Plot SoA'!C6:C10,'Plot By Plot SoA'!C21:C32)</f>
        <v>16</v>
      </c>
      <c r="C6" s="51">
        <f>SUM('Plot By Plot SoA'!D6:D10,'Plot By Plot SoA'!D21:D32)</f>
        <v>1378.7</v>
      </c>
      <c r="D6" s="52">
        <f t="shared" ref="D6:D11" si="0">SUM(C6*10.7639)</f>
        <v>14840.18893</v>
      </c>
      <c r="E6" s="53">
        <f>COUNTA('Plot By Plot SoA'!F6:F10,'Plot By Plot SoA'!F21:F32)</f>
        <v>11</v>
      </c>
      <c r="F6" s="53">
        <f>COUNTA('Plot By Plot SoA'!H6:H10,'Plot By Plot SoA'!H21:H32)</f>
        <v>5</v>
      </c>
      <c r="G6" s="53">
        <f>COUNTA('Plot By Plot SoA'!I6:I10,'Plot By Plot SoA'!I21:I32)</f>
        <v>0</v>
      </c>
      <c r="H6" s="54">
        <f>COUNTA('Plot By Plot SoA'!J6:J10,'Plot By Plot SoA'!J21:J32)</f>
        <v>0</v>
      </c>
      <c r="I6" s="55">
        <f>COUNTA('Plot By Plot SoA'!L6:L10,'Plot By Plot SoA'!L21:L32)</f>
        <v>1</v>
      </c>
      <c r="J6" s="56">
        <f>COUNTA('Plot By Plot SoA'!M6:M10,'Plot By Plot SoA'!M21:M32)</f>
        <v>11</v>
      </c>
      <c r="K6" s="56">
        <f>COUNTA('Plot By Plot SoA'!N6:N10,'Plot By Plot SoA'!N21:N32)</f>
        <v>3</v>
      </c>
      <c r="L6" s="56">
        <f>COUNTA('Plot By Plot SoA'!O6:O10,'Plot By Plot SoA'!O21:O32)</f>
        <v>1</v>
      </c>
      <c r="M6" s="54">
        <f>COUNTA('Plot By Plot SoA'!P6:P10,'Plot By Plot SoA'!P21:P32)</f>
        <v>0</v>
      </c>
    </row>
    <row r="7" spans="1:14" ht="17.25" x14ac:dyDescent="0.35">
      <c r="A7" s="46" t="s">
        <v>45</v>
      </c>
      <c r="B7" s="50">
        <f>COUNTA('Plot By Plot SoA'!C11:C20)</f>
        <v>9</v>
      </c>
      <c r="C7" s="57">
        <f>SUM('Plot By Plot SoA'!D11:D20)</f>
        <v>794.09999999999991</v>
      </c>
      <c r="D7" s="58">
        <f t="shared" si="0"/>
        <v>8547.6129899999978</v>
      </c>
      <c r="E7" s="50">
        <f>COUNTA('Plot By Plot SoA'!F11:F20)</f>
        <v>6</v>
      </c>
      <c r="F7" s="50">
        <f>COUNTA('Plot By Plot SoA'!H11:H20)</f>
        <v>3</v>
      </c>
      <c r="G7" s="50">
        <f>COUNTA('Plot By Plot SoA'!I11:I20)</f>
        <v>0</v>
      </c>
      <c r="H7" s="54">
        <f>COUNTA('Plot By Plot SoA'!J11:J20)</f>
        <v>0</v>
      </c>
      <c r="I7" s="59">
        <f>COUNTA('Plot By Plot SoA'!L11:L20)</f>
        <v>1</v>
      </c>
      <c r="J7" s="60">
        <f>COUNTA('Plot By Plot SoA'!M11:M20)</f>
        <v>5</v>
      </c>
      <c r="K7" s="60">
        <f>COUNTA('Plot By Plot SoA'!N11:N20)</f>
        <v>2</v>
      </c>
      <c r="L7" s="60">
        <f>COUNTA('Plot By Plot SoA'!O11:O20)</f>
        <v>1</v>
      </c>
      <c r="M7" s="54">
        <f>COUNTA('Plot By Plot SoA'!P11:P20)</f>
        <v>0</v>
      </c>
    </row>
    <row r="8" spans="1:14" ht="17.25" x14ac:dyDescent="0.35">
      <c r="A8" s="46" t="s">
        <v>21</v>
      </c>
      <c r="B8" s="50">
        <f>COUNTA('Plot By Plot SoA'!C33:C50)</f>
        <v>17</v>
      </c>
      <c r="C8" s="57">
        <f>SUM('Plot By Plot SoA'!D33:D50)</f>
        <v>1543.8</v>
      </c>
      <c r="D8" s="58">
        <f t="shared" si="0"/>
        <v>16617.308819999998</v>
      </c>
      <c r="E8" s="50">
        <f>COUNTA('Plot By Plot SoA'!F33:F50)</f>
        <v>10</v>
      </c>
      <c r="F8" s="50">
        <f>COUNTA('Plot By Plot SoA'!H33:H50)</f>
        <v>7</v>
      </c>
      <c r="G8" s="50">
        <f>COUNTA('Plot By Plot SoA'!I33:I50)</f>
        <v>0</v>
      </c>
      <c r="H8" s="54">
        <f>COUNTA('Plot By Plot SoA'!J33:J50)</f>
        <v>0</v>
      </c>
      <c r="I8" s="59">
        <f>COUNTA('Plot By Plot SoA'!L33:L50)</f>
        <v>1</v>
      </c>
      <c r="J8" s="60">
        <f>COUNTA('Plot By Plot SoA'!M33:M50)</f>
        <v>5</v>
      </c>
      <c r="K8" s="60">
        <f>COUNTA('Plot By Plot SoA'!N33:N50)</f>
        <v>10</v>
      </c>
      <c r="L8" s="60">
        <f>COUNTA('Plot By Plot SoA'!O33:O50)</f>
        <v>1</v>
      </c>
      <c r="M8" s="54">
        <f>COUNTA('Plot By Plot SoA'!P33:P50)</f>
        <v>0</v>
      </c>
    </row>
    <row r="9" spans="1:14" ht="17.25" x14ac:dyDescent="0.35">
      <c r="A9" s="46" t="s">
        <v>24</v>
      </c>
      <c r="B9" s="50">
        <f>COUNTA('Plot By Plot SoA'!C51:C99)</f>
        <v>44</v>
      </c>
      <c r="C9" s="57">
        <f>SUM('Plot By Plot SoA'!D51:D99)</f>
        <v>3999.6999999999989</v>
      </c>
      <c r="D9" s="58">
        <f t="shared" si="0"/>
        <v>43052.370829999985</v>
      </c>
      <c r="E9" s="50">
        <f>COUNTA('Plot By Plot SoA'!F51:F99)</f>
        <v>25</v>
      </c>
      <c r="F9" s="50">
        <f>COUNTA('Plot By Plot SoA'!H51:H99)</f>
        <v>19</v>
      </c>
      <c r="G9" s="50">
        <f>COUNTA('Plot By Plot SoA'!I51:I99)</f>
        <v>0</v>
      </c>
      <c r="H9" s="54">
        <f>COUNTA('Plot By Plot SoA'!J51:J99)</f>
        <v>0</v>
      </c>
      <c r="I9" s="59">
        <f>COUNTA('Plot By Plot SoA'!L51:L99)</f>
        <v>5</v>
      </c>
      <c r="J9" s="60">
        <f>COUNTA('Plot By Plot SoA'!M51:M99)</f>
        <v>13</v>
      </c>
      <c r="K9" s="60">
        <f>COUNTA('Plot By Plot SoA'!N51:N99)</f>
        <v>21</v>
      </c>
      <c r="L9" s="60">
        <f>COUNTA('Plot By Plot SoA'!O51:O99)</f>
        <v>5</v>
      </c>
      <c r="M9" s="54">
        <f>COUNTA('Plot By Plot SoA'!P51:P99)</f>
        <v>0</v>
      </c>
    </row>
    <row r="10" spans="1:14" ht="17.25" x14ac:dyDescent="0.35">
      <c r="A10" s="46" t="s">
        <v>110</v>
      </c>
      <c r="B10" s="50">
        <f>COUNTA('Plot By Plot SoA'!C247:C328)</f>
        <v>82</v>
      </c>
      <c r="C10" s="57">
        <f>SUM('Plot By Plot SoA'!D247:D328)</f>
        <v>4229.2000000000016</v>
      </c>
      <c r="D10" s="58">
        <f t="shared" si="0"/>
        <v>45522.685880000019</v>
      </c>
      <c r="E10" s="50">
        <f>COUNTA('Plot By Plot SoA'!F247:F328)</f>
        <v>0</v>
      </c>
      <c r="F10" s="50">
        <f>COUNTA('Plot By Plot SoA'!H247:H328)</f>
        <v>2</v>
      </c>
      <c r="G10" s="50">
        <f>COUNTA('Plot By Plot SoA'!I247:I328)</f>
        <v>17</v>
      </c>
      <c r="H10" s="54">
        <f>COUNTA('Plot By Plot SoA'!J247:J328)</f>
        <v>63</v>
      </c>
      <c r="I10" s="59">
        <f>COUNTA('Plot By Plot SoA'!L247:L328)</f>
        <v>69</v>
      </c>
      <c r="J10" s="60">
        <f>COUNTA('Plot By Plot SoA'!M247:M328)</f>
        <v>11</v>
      </c>
      <c r="K10" s="60">
        <f>COUNTA('Plot By Plot SoA'!N247:N328)</f>
        <v>2</v>
      </c>
      <c r="L10" s="60">
        <f>COUNTA('Plot By Plot SoA'!O247:O328)</f>
        <v>0</v>
      </c>
      <c r="M10" s="54">
        <f>COUNTA('Plot By Plot SoA'!P247:P328)</f>
        <v>0</v>
      </c>
      <c r="N10" s="255"/>
    </row>
    <row r="11" spans="1:14" ht="17.25" x14ac:dyDescent="0.35">
      <c r="A11" s="323" t="s">
        <v>131</v>
      </c>
      <c r="B11" s="50">
        <f>COUNTA('Plot By Plot SoA'!C329:C353)</f>
        <v>19</v>
      </c>
      <c r="C11" s="57">
        <f>SUM('Plot By Plot SoA'!D329:D353)</f>
        <v>1417.4999999999998</v>
      </c>
      <c r="D11" s="58">
        <f t="shared" si="0"/>
        <v>15257.828249999997</v>
      </c>
      <c r="E11" s="50">
        <f>COUNTA('Plot By Plot SoA'!F329:F353)</f>
        <v>6</v>
      </c>
      <c r="F11" s="50">
        <f>COUNTA('Plot By Plot SoA'!H329:H353)</f>
        <v>8</v>
      </c>
      <c r="G11" s="50">
        <f>COUNTA('Plot By Plot SoA'!I329:I353)</f>
        <v>0</v>
      </c>
      <c r="H11" s="54">
        <f>COUNTA('Plot By Plot SoA'!J329:J353)</f>
        <v>5</v>
      </c>
      <c r="I11" s="59">
        <f>COUNTA('Plot By Plot SoA'!L329:L353)</f>
        <v>8</v>
      </c>
      <c r="J11" s="60">
        <f>COUNTA('Plot By Plot SoA'!M329:M353)</f>
        <v>2</v>
      </c>
      <c r="K11" s="60">
        <f>COUNTA('Plot By Plot SoA'!N329:N353)</f>
        <v>9</v>
      </c>
      <c r="L11" s="60">
        <f>COUNTA('Plot By Plot SoA'!O329:O353)</f>
        <v>0</v>
      </c>
      <c r="M11" s="54">
        <f>COUNTA('Plot By Plot SoA'!P329:P353)</f>
        <v>0</v>
      </c>
    </row>
    <row r="12" spans="1:14" ht="17.25" x14ac:dyDescent="0.35">
      <c r="A12" s="46" t="s">
        <v>46</v>
      </c>
      <c r="B12" s="50">
        <f>COUNTA('Plot By Plot SoA'!C100:C139,'Plot By Plot SoA'!C173:C193)</f>
        <v>50</v>
      </c>
      <c r="C12" s="57">
        <f>SUM('Plot By Plot SoA'!D100:D139,'Plot By Plot SoA'!D173:D193)</f>
        <v>3914.1999999999985</v>
      </c>
      <c r="D12" s="58">
        <f>SUM(C12*10.7639)</f>
        <v>42132.057379999984</v>
      </c>
      <c r="E12" s="50">
        <f>COUNTA('Plot By Plot SoA'!F100:F139,'Plot By Plot SoA'!F173:F193)</f>
        <v>22</v>
      </c>
      <c r="F12" s="50">
        <f>COUNTA('Plot By Plot SoA'!H100:H139,'Plot By Plot SoA'!H173:H193)</f>
        <v>10</v>
      </c>
      <c r="G12" s="50">
        <f>COUNTA('Plot By Plot SoA'!I100:I139,'Plot By Plot SoA'!I173:I193)</f>
        <v>6</v>
      </c>
      <c r="H12" s="54">
        <f>COUNTA('Plot By Plot SoA'!J100:J139,'Plot By Plot SoA'!J173:J193)</f>
        <v>11</v>
      </c>
      <c r="I12" s="59">
        <f>COUNTA('Plot By Plot SoA'!L100:L139,'Plot By Plot SoA'!L173:L193)</f>
        <v>14</v>
      </c>
      <c r="J12" s="60">
        <f>COUNTA('Plot By Plot SoA'!M100:M139,'Plot By Plot SoA'!M173:M193)</f>
        <v>21</v>
      </c>
      <c r="K12" s="60">
        <f>COUNTA('Plot By Plot SoA'!N100:N139,'Plot By Plot SoA'!N173:N193)</f>
        <v>11</v>
      </c>
      <c r="L12" s="60">
        <f>COUNTA('Plot By Plot SoA'!O100:O139,'Plot By Plot SoA'!O173:O193)</f>
        <v>4</v>
      </c>
      <c r="M12" s="54">
        <f>COUNTA('Plot By Plot SoA'!P100:P139,'Plot By Plot SoA'!P173:P193)</f>
        <v>0</v>
      </c>
    </row>
    <row r="13" spans="1:14" ht="17.25" x14ac:dyDescent="0.35">
      <c r="A13" s="46" t="s">
        <v>27</v>
      </c>
      <c r="B13" s="50">
        <f>COUNTA('Plot By Plot SoA'!C194:C246)</f>
        <v>53</v>
      </c>
      <c r="C13" s="57">
        <f>SUM('Plot By Plot SoA'!D194:D246)</f>
        <v>3033.2999999999984</v>
      </c>
      <c r="D13" s="58">
        <f>SUM(C13*10.7639)</f>
        <v>32650.13786999998</v>
      </c>
      <c r="E13" s="50">
        <f>COUNTA('Plot By Plot SoA'!F194:F246)</f>
        <v>0</v>
      </c>
      <c r="F13" s="50">
        <f>COUNTA('Plot By Plot SoA'!H194:H246)</f>
        <v>5</v>
      </c>
      <c r="G13" s="50">
        <f>COUNTA('Plot By Plot SoA'!I194:I246)</f>
        <v>5</v>
      </c>
      <c r="H13" s="54">
        <f>COUNTA('Plot By Plot SoA'!J194:J246)</f>
        <v>43</v>
      </c>
      <c r="I13" s="59">
        <f>COUNTA('Plot By Plot SoA'!L194:L246)</f>
        <v>40</v>
      </c>
      <c r="J13" s="60">
        <f>COUNTA('Plot By Plot SoA'!M194:M246)</f>
        <v>12</v>
      </c>
      <c r="K13" s="60">
        <f>COUNTA('Plot By Plot SoA'!N194:N246)</f>
        <v>1</v>
      </c>
      <c r="L13" s="60">
        <f>COUNTA('Plot By Plot SoA'!O194:O246)</f>
        <v>0</v>
      </c>
      <c r="M13" s="54">
        <f>COUNTA('Plot By Plot SoA'!P194:P246)</f>
        <v>0</v>
      </c>
    </row>
    <row r="14" spans="1:14" ht="17.25" x14ac:dyDescent="0.35">
      <c r="A14" s="46" t="s">
        <v>22</v>
      </c>
      <c r="B14" s="121">
        <f>COUNTA('Plot By Plot SoA'!C140:C172)</f>
        <v>27</v>
      </c>
      <c r="C14" s="57">
        <f>SUM('Plot By Plot SoA'!D140:D172)</f>
        <v>2383.6999999999998</v>
      </c>
      <c r="D14" s="58">
        <f>SUM(C14*10.7639)</f>
        <v>25657.908429999996</v>
      </c>
      <c r="E14" s="50">
        <f>COUNTA('Plot By Plot SoA'!F140:F172)</f>
        <v>24</v>
      </c>
      <c r="F14" s="50">
        <f>COUNTA('Plot By Plot SoA'!H140:H172)</f>
        <v>1</v>
      </c>
      <c r="G14" s="50">
        <f>COUNTA('Plot By Plot SoA'!I140:I172)</f>
        <v>0</v>
      </c>
      <c r="H14" s="54">
        <f>COUNTA('Plot By Plot SoA'!J140:J172)</f>
        <v>0</v>
      </c>
      <c r="I14" s="59">
        <f>COUNTA('Plot By Plot SoA'!L140:L172)</f>
        <v>0</v>
      </c>
      <c r="J14" s="60">
        <f>COUNTA('Plot By Plot SoA'!M140:M172)</f>
        <v>16</v>
      </c>
      <c r="K14" s="60">
        <f>COUNTA('Plot By Plot SoA'!N140:N172)</f>
        <v>10</v>
      </c>
      <c r="L14" s="60">
        <f>COUNTA('Plot By Plot SoA'!O140:O172)</f>
        <v>1</v>
      </c>
      <c r="M14" s="54">
        <f>COUNTA('Plot By Plot SoA'!P140:P172)</f>
        <v>0</v>
      </c>
      <c r="N14" s="324"/>
    </row>
    <row r="15" spans="1:14" ht="17.25" x14ac:dyDescent="0.35">
      <c r="A15" s="46" t="s">
        <v>15</v>
      </c>
      <c r="B15" s="121">
        <f>COUNTA('[1]Plot By Plot SoA'!B328)</f>
        <v>1</v>
      </c>
      <c r="C15" s="264">
        <f>SUM('[1]Plot By Plot SoA'!C328)</f>
        <v>169.5</v>
      </c>
      <c r="D15" s="58">
        <f>SUM(C15*10.7639)</f>
        <v>1824.4810499999999</v>
      </c>
      <c r="E15" s="263"/>
      <c r="F15" s="263"/>
      <c r="G15" s="50"/>
      <c r="H15" s="246"/>
      <c r="I15" s="59"/>
      <c r="J15" s="159"/>
      <c r="K15" s="159"/>
      <c r="L15" s="159"/>
      <c r="M15" s="54"/>
    </row>
    <row r="16" spans="1:14" ht="18" thickBot="1" x14ac:dyDescent="0.4">
      <c r="A16" s="47" t="s">
        <v>48</v>
      </c>
      <c r="B16" s="62">
        <f>COUNTA('[1]Plot By Plot SoA'!B323:B327)</f>
        <v>5</v>
      </c>
      <c r="C16" s="265">
        <f>SUM('[1]Plot By Plot SoA'!C323:C327)</f>
        <v>342.6</v>
      </c>
      <c r="D16" s="58">
        <f>SUM(C16*10.7639)</f>
        <v>3687.7121400000001</v>
      </c>
      <c r="E16" s="120"/>
      <c r="F16" s="120"/>
      <c r="G16" s="61"/>
      <c r="H16" s="119"/>
      <c r="I16" s="64"/>
      <c r="J16" s="87"/>
      <c r="K16" s="87"/>
      <c r="L16" s="87"/>
      <c r="M16" s="63"/>
    </row>
    <row r="17" spans="1:15" ht="17.25" thickBot="1" x14ac:dyDescent="0.35">
      <c r="A17" s="11" t="s">
        <v>5</v>
      </c>
      <c r="B17" s="66">
        <f>SUM(B6:B14)</f>
        <v>317</v>
      </c>
      <c r="C17" s="27"/>
      <c r="D17" s="12"/>
      <c r="E17" s="12">
        <f t="shared" ref="E17:M17" si="1">SUM(E6:E14)</f>
        <v>104</v>
      </c>
      <c r="F17" s="12">
        <f t="shared" si="1"/>
        <v>60</v>
      </c>
      <c r="G17" s="12">
        <f t="shared" si="1"/>
        <v>28</v>
      </c>
      <c r="H17" s="12">
        <f t="shared" si="1"/>
        <v>122</v>
      </c>
      <c r="I17" s="16">
        <f t="shared" si="1"/>
        <v>139</v>
      </c>
      <c r="J17" s="16">
        <f t="shared" si="1"/>
        <v>96</v>
      </c>
      <c r="K17" s="16">
        <f t="shared" si="1"/>
        <v>69</v>
      </c>
      <c r="L17" s="16">
        <f t="shared" si="1"/>
        <v>13</v>
      </c>
      <c r="M17" s="68">
        <f t="shared" si="1"/>
        <v>0</v>
      </c>
      <c r="O17" s="257"/>
    </row>
    <row r="18" spans="1:15" x14ac:dyDescent="0.3">
      <c r="A18" s="9" t="s">
        <v>49</v>
      </c>
      <c r="B18" s="879">
        <f>SUM(C6:C14)</f>
        <v>22694.199999999997</v>
      </c>
      <c r="C18" s="880"/>
      <c r="D18" s="880"/>
      <c r="E18" s="880"/>
      <c r="F18" s="880"/>
      <c r="G18" s="880"/>
      <c r="H18" s="881"/>
      <c r="I18" s="13">
        <f>SUM(1/I20*I17)</f>
        <v>0.43848580441640378</v>
      </c>
      <c r="J18" s="14">
        <f>SUM(1/I20*J17)</f>
        <v>0.30283911671924291</v>
      </c>
      <c r="K18" s="14">
        <f>SUM(1/I20*K17)</f>
        <v>0.21766561514195584</v>
      </c>
      <c r="L18" s="14">
        <f>SUM(1/I20*L17)</f>
        <v>4.1009463722397478E-2</v>
      </c>
      <c r="M18" s="15">
        <f>SUM(1/I20*M17)</f>
        <v>0</v>
      </c>
    </row>
    <row r="19" spans="1:15" ht="15" customHeight="1" thickBot="1" x14ac:dyDescent="0.35">
      <c r="A19" s="320" t="s">
        <v>127</v>
      </c>
      <c r="B19" s="886">
        <f>C15</f>
        <v>169.5</v>
      </c>
      <c r="C19" s="887"/>
      <c r="D19" s="887"/>
      <c r="E19" s="887"/>
      <c r="F19" s="887"/>
      <c r="G19" s="887"/>
      <c r="H19" s="888"/>
      <c r="I19" s="266"/>
      <c r="J19" s="267"/>
      <c r="K19" s="267"/>
      <c r="L19" s="267"/>
      <c r="M19" s="268"/>
    </row>
    <row r="20" spans="1:15" ht="17.25" thickBot="1" x14ac:dyDescent="0.35">
      <c r="A20" s="10" t="s">
        <v>7</v>
      </c>
      <c r="B20" s="777">
        <f>SUM(B18+B19+C16)</f>
        <v>23206.299999999996</v>
      </c>
      <c r="C20" s="778"/>
      <c r="D20" s="778"/>
      <c r="E20" s="778"/>
      <c r="F20" s="778"/>
      <c r="G20" s="778"/>
      <c r="H20" s="779"/>
      <c r="I20" s="740">
        <f>SUM(I17:M17)</f>
        <v>317</v>
      </c>
      <c r="J20" s="741"/>
      <c r="K20" s="741"/>
      <c r="L20" s="741"/>
      <c r="M20" s="742"/>
    </row>
    <row r="21" spans="1:15" ht="17.25" thickBot="1" x14ac:dyDescent="0.35">
      <c r="A21" s="19" t="s">
        <v>8</v>
      </c>
      <c r="B21" s="774">
        <f>SUM(B20*10.7639)</f>
        <v>249790.29256999993</v>
      </c>
      <c r="C21" s="775"/>
      <c r="D21" s="775"/>
      <c r="E21" s="775"/>
      <c r="F21" s="775"/>
      <c r="G21" s="775"/>
      <c r="H21" s="776"/>
      <c r="I21" s="743"/>
      <c r="J21" s="744"/>
      <c r="K21" s="744"/>
      <c r="L21" s="744"/>
      <c r="M21" s="745"/>
    </row>
    <row r="22" spans="1:15" ht="18" thickBot="1" x14ac:dyDescent="0.4">
      <c r="A22" s="269" t="s">
        <v>121</v>
      </c>
      <c r="B22" s="877">
        <f>'[1]Plot By Plot SoA'!K348</f>
        <v>31144.806454999998</v>
      </c>
      <c r="C22" s="877"/>
      <c r="D22" s="877"/>
      <c r="E22" s="877"/>
      <c r="F22" s="877"/>
      <c r="G22" s="877"/>
      <c r="H22" s="878"/>
      <c r="I22" s="30"/>
      <c r="J22" s="30"/>
      <c r="K22" s="30"/>
      <c r="L22" s="30"/>
      <c r="M22" s="30"/>
    </row>
    <row r="23" spans="1:15" ht="18" thickBot="1" x14ac:dyDescent="0.4">
      <c r="A23" s="269" t="s">
        <v>122</v>
      </c>
      <c r="B23" s="877">
        <f>SUM(B22+B21)</f>
        <v>280935.09902499994</v>
      </c>
      <c r="C23" s="877"/>
      <c r="D23" s="877"/>
      <c r="E23" s="877"/>
      <c r="F23" s="877"/>
      <c r="G23" s="877"/>
      <c r="H23" s="878"/>
      <c r="I23" s="30"/>
      <c r="J23" s="30"/>
      <c r="K23" s="30"/>
      <c r="L23" s="30"/>
      <c r="M23" s="30"/>
    </row>
    <row r="24" spans="1:15" ht="17.25" x14ac:dyDescent="0.3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5" ht="17.25" x14ac:dyDescent="0.3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5" ht="17.25" x14ac:dyDescent="0.3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5" ht="17.25" x14ac:dyDescent="0.3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5" ht="17.25" x14ac:dyDescent="0.3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5" ht="17.25" x14ac:dyDescent="0.3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5" ht="17.25" x14ac:dyDescent="0.3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5" ht="17.25" x14ac:dyDescent="0.3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5" ht="17.25" x14ac:dyDescent="0.3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1:13" ht="17.25" x14ac:dyDescent="0.3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ht="17.25" x14ac:dyDescent="0.3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3" ht="17.25" x14ac:dyDescent="0.3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1:13" ht="17.25" x14ac:dyDescent="0.3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1:13" ht="17.25" x14ac:dyDescent="0.3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3" ht="17.25" x14ac:dyDescent="0.3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1:13" ht="17.25" x14ac:dyDescent="0.3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</sheetData>
  <mergeCells count="17">
    <mergeCell ref="A1:A4"/>
    <mergeCell ref="E3:E4"/>
    <mergeCell ref="B3:B4"/>
    <mergeCell ref="C3:C4"/>
    <mergeCell ref="F3:F4"/>
    <mergeCell ref="D3:D4"/>
    <mergeCell ref="B22:H22"/>
    <mergeCell ref="B23:H23"/>
    <mergeCell ref="B18:H18"/>
    <mergeCell ref="B20:H20"/>
    <mergeCell ref="B1:M2"/>
    <mergeCell ref="G3:G4"/>
    <mergeCell ref="H3:H4"/>
    <mergeCell ref="I3:M4"/>
    <mergeCell ref="I20:M21"/>
    <mergeCell ref="B21:H21"/>
    <mergeCell ref="B19:H19"/>
  </mergeCells>
  <pageMargins left="0.7" right="0.7" top="0.75" bottom="0.75" header="0.3" footer="0.3"/>
  <pageSetup paperSize="8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4A38B-6ADA-4D58-85E5-67D26F6AC7C8}">
  <dimension ref="A1:P31"/>
  <sheetViews>
    <sheetView zoomScale="85" zoomScaleNormal="85" workbookViewId="0">
      <selection activeCell="J22" sqref="J22"/>
    </sheetView>
  </sheetViews>
  <sheetFormatPr defaultRowHeight="15" x14ac:dyDescent="0.25"/>
  <cols>
    <col min="2" max="2" width="12.7109375" customWidth="1"/>
    <col min="3" max="3" width="26.5703125" customWidth="1"/>
    <col min="4" max="7" width="17.7109375" customWidth="1"/>
  </cols>
  <sheetData>
    <row r="1" spans="1:16" ht="15" customHeight="1" x14ac:dyDescent="0.25">
      <c r="A1" s="903" t="s">
        <v>90</v>
      </c>
      <c r="B1" s="904"/>
      <c r="C1" s="904"/>
      <c r="D1" s="904"/>
      <c r="E1" s="904"/>
      <c r="F1" s="904"/>
      <c r="G1" s="905"/>
      <c r="H1" s="405"/>
      <c r="I1" s="405"/>
      <c r="J1" s="405"/>
      <c r="K1" s="405"/>
      <c r="L1" s="405"/>
      <c r="M1" s="405"/>
      <c r="N1" s="405"/>
      <c r="O1" s="405"/>
      <c r="P1" s="405"/>
    </row>
    <row r="2" spans="1:16" ht="15.75" customHeight="1" x14ac:dyDescent="0.25">
      <c r="A2" s="906"/>
      <c r="B2" s="907"/>
      <c r="C2" s="907"/>
      <c r="D2" s="907"/>
      <c r="E2" s="907"/>
      <c r="F2" s="907"/>
      <c r="G2" s="908"/>
      <c r="H2" s="405"/>
      <c r="I2" s="405"/>
      <c r="J2" s="405"/>
      <c r="K2" s="405"/>
      <c r="L2" s="405"/>
      <c r="M2" s="405"/>
      <c r="N2" s="405"/>
      <c r="O2" s="405"/>
      <c r="P2" s="405"/>
    </row>
    <row r="3" spans="1:16" ht="15.75" customHeight="1" x14ac:dyDescent="0.25">
      <c r="A3" s="412"/>
      <c r="B3" s="413"/>
      <c r="C3" s="413"/>
      <c r="D3" s="926" t="s">
        <v>181</v>
      </c>
      <c r="E3" s="927"/>
      <c r="F3" s="901" t="s">
        <v>182</v>
      </c>
      <c r="G3" s="902"/>
      <c r="H3" s="405"/>
      <c r="I3" s="405"/>
      <c r="J3" s="405"/>
      <c r="K3" s="405"/>
      <c r="L3" s="405"/>
      <c r="M3" s="405"/>
      <c r="N3" s="405"/>
      <c r="O3" s="405"/>
      <c r="P3" s="405"/>
    </row>
    <row r="4" spans="1:16" ht="15" customHeight="1" x14ac:dyDescent="0.25">
      <c r="A4" s="922"/>
      <c r="B4" s="923"/>
      <c r="C4" s="918" t="s">
        <v>183</v>
      </c>
      <c r="D4" s="920" t="s">
        <v>4</v>
      </c>
      <c r="E4" s="916" t="s">
        <v>19</v>
      </c>
      <c r="F4" s="909" t="s">
        <v>4</v>
      </c>
      <c r="G4" s="911" t="s">
        <v>19</v>
      </c>
      <c r="H4" s="406"/>
    </row>
    <row r="5" spans="1:16" x14ac:dyDescent="0.25">
      <c r="A5" s="924"/>
      <c r="B5" s="925"/>
      <c r="C5" s="919"/>
      <c r="D5" s="921"/>
      <c r="E5" s="917"/>
      <c r="F5" s="910"/>
      <c r="G5" s="912"/>
      <c r="H5" s="406"/>
    </row>
    <row r="6" spans="1:16" ht="17.25" customHeight="1" x14ac:dyDescent="0.35">
      <c r="A6" s="760" t="s">
        <v>218</v>
      </c>
      <c r="B6" s="913"/>
      <c r="C6" s="452" t="s">
        <v>10</v>
      </c>
      <c r="D6" s="447">
        <f>'Plot By Plot SoA'!D354</f>
        <v>69.25</v>
      </c>
      <c r="E6" s="407">
        <f>SUM(D6*10.7639)</f>
        <v>745.40007500000002</v>
      </c>
      <c r="F6" s="418">
        <v>61.25</v>
      </c>
      <c r="G6" s="425">
        <f>SUM(F6*10.7639)</f>
        <v>659.28887499999996</v>
      </c>
    </row>
    <row r="7" spans="1:16" ht="16.5" x14ac:dyDescent="0.35">
      <c r="A7" s="760"/>
      <c r="B7" s="913"/>
      <c r="C7" s="453" t="s">
        <v>11</v>
      </c>
      <c r="D7" s="448">
        <f>'Plot By Plot SoA'!D355</f>
        <v>104.35</v>
      </c>
      <c r="E7" s="408">
        <f>SUM(D7*10.7639)</f>
        <v>1123.2129649999999</v>
      </c>
      <c r="F7" s="420">
        <v>95.85</v>
      </c>
      <c r="G7" s="421">
        <f>SUM(F7*10.7639)</f>
        <v>1031.7198149999999</v>
      </c>
    </row>
    <row r="8" spans="1:16" ht="16.5" x14ac:dyDescent="0.35">
      <c r="A8" s="760"/>
      <c r="B8" s="913"/>
      <c r="C8" s="453" t="s">
        <v>12</v>
      </c>
      <c r="D8" s="448">
        <f>'Plot By Plot SoA'!D356</f>
        <v>75</v>
      </c>
      <c r="E8" s="408">
        <f>SUM(D8*10.7639)</f>
        <v>807.29250000000002</v>
      </c>
      <c r="F8" s="420">
        <v>67.7</v>
      </c>
      <c r="G8" s="421">
        <f>SUM(F8*10.7639)</f>
        <v>728.71603000000005</v>
      </c>
    </row>
    <row r="9" spans="1:16" ht="16.5" x14ac:dyDescent="0.35">
      <c r="A9" s="760"/>
      <c r="B9" s="913"/>
      <c r="C9" s="453" t="s">
        <v>13</v>
      </c>
      <c r="D9" s="448">
        <f>'Plot By Plot SoA'!D357</f>
        <v>47</v>
      </c>
      <c r="E9" s="408">
        <f>SUM(D9*10.7639)</f>
        <v>505.9033</v>
      </c>
      <c r="F9" s="420">
        <v>38.9</v>
      </c>
      <c r="G9" s="421">
        <f>SUM(F9*10.7639)</f>
        <v>418.71570999999994</v>
      </c>
    </row>
    <row r="10" spans="1:16" ht="18.75" customHeight="1" x14ac:dyDescent="0.35">
      <c r="A10" s="914"/>
      <c r="B10" s="915"/>
      <c r="C10" s="454" t="s">
        <v>14</v>
      </c>
      <c r="D10" s="449">
        <f>'Plot By Plot SoA'!D358</f>
        <v>47</v>
      </c>
      <c r="E10" s="409">
        <f>SUM(D10*10.7639)</f>
        <v>505.9033</v>
      </c>
      <c r="F10" s="415">
        <v>37.9</v>
      </c>
      <c r="G10" s="414">
        <f>SUM(F10*10.7639)</f>
        <v>407.95180999999997</v>
      </c>
    </row>
    <row r="11" spans="1:16" ht="17.25" customHeight="1" x14ac:dyDescent="0.25">
      <c r="A11" s="899" t="s">
        <v>50</v>
      </c>
      <c r="B11" s="900"/>
      <c r="C11" s="900"/>
      <c r="D11" s="455">
        <f>SUM(D6:D10)</f>
        <v>342.6</v>
      </c>
      <c r="E11" s="411">
        <f>SUM(E6:E10)</f>
        <v>3687.7121399999996</v>
      </c>
      <c r="F11" s="416">
        <f>SUM(F6:F10)</f>
        <v>301.59999999999997</v>
      </c>
      <c r="G11" s="417">
        <f>SUM(G6:G10)</f>
        <v>3246.3922400000001</v>
      </c>
    </row>
    <row r="12" spans="1:16" ht="17.25" customHeight="1" x14ac:dyDescent="0.35">
      <c r="A12" s="896" t="s">
        <v>229</v>
      </c>
      <c r="B12" s="796"/>
      <c r="C12" s="450" t="s">
        <v>219</v>
      </c>
      <c r="D12" s="447">
        <v>251.5</v>
      </c>
      <c r="E12" s="407">
        <f t="shared" ref="E12:E17" si="0">SUM(D12*10.7639)</f>
        <v>2707.1208499999998</v>
      </c>
      <c r="F12" s="418" t="s">
        <v>82</v>
      </c>
      <c r="G12" s="419" t="s">
        <v>82</v>
      </c>
    </row>
    <row r="13" spans="1:16" ht="16.5" x14ac:dyDescent="0.35">
      <c r="A13" s="897"/>
      <c r="B13" s="827"/>
      <c r="C13" s="451" t="s">
        <v>220</v>
      </c>
      <c r="D13" s="431">
        <v>488.35</v>
      </c>
      <c r="E13" s="410">
        <f t="shared" si="0"/>
        <v>5256.5505650000005</v>
      </c>
      <c r="F13" s="424">
        <v>462.25</v>
      </c>
      <c r="G13" s="421">
        <f>SUM(F13*10.7639)</f>
        <v>4975.6127749999996</v>
      </c>
    </row>
    <row r="14" spans="1:16" ht="16.5" x14ac:dyDescent="0.35">
      <c r="A14" s="897"/>
      <c r="B14" s="827"/>
      <c r="C14" s="451" t="s">
        <v>221</v>
      </c>
      <c r="D14" s="431">
        <v>400</v>
      </c>
      <c r="E14" s="410">
        <f t="shared" si="0"/>
        <v>4305.5599999999995</v>
      </c>
      <c r="F14" s="424">
        <v>339</v>
      </c>
      <c r="G14" s="456">
        <f>SUM(F14*10.7639)</f>
        <v>3648.9620999999997</v>
      </c>
    </row>
    <row r="15" spans="1:16" ht="16.5" x14ac:dyDescent="0.35">
      <c r="A15" s="897"/>
      <c r="B15" s="827"/>
      <c r="C15" s="460" t="s">
        <v>222</v>
      </c>
      <c r="D15" s="457">
        <v>445</v>
      </c>
      <c r="E15" s="458">
        <f t="shared" si="0"/>
        <v>4789.9354999999996</v>
      </c>
      <c r="F15" s="424" t="s">
        <v>82</v>
      </c>
      <c r="G15" s="464" t="s">
        <v>82</v>
      </c>
    </row>
    <row r="16" spans="1:16" ht="16.5" x14ac:dyDescent="0.35">
      <c r="A16" s="898"/>
      <c r="B16" s="772"/>
      <c r="C16" s="461" t="s">
        <v>223</v>
      </c>
      <c r="D16" s="462">
        <v>2813</v>
      </c>
      <c r="E16" s="463">
        <f t="shared" si="0"/>
        <v>30278.850699999999</v>
      </c>
      <c r="F16" s="422" t="s">
        <v>82</v>
      </c>
      <c r="G16" s="465" t="s">
        <v>82</v>
      </c>
    </row>
    <row r="17" spans="1:11" ht="17.25" thickBot="1" x14ac:dyDescent="0.4">
      <c r="A17" s="930" t="s">
        <v>50</v>
      </c>
      <c r="B17" s="931"/>
      <c r="C17" s="931"/>
      <c r="D17" s="468">
        <f>SUM(D12:D16)</f>
        <v>4397.8500000000004</v>
      </c>
      <c r="E17" s="469">
        <f t="shared" si="0"/>
        <v>47338.017615000004</v>
      </c>
      <c r="F17" s="466">
        <f>SUM(F13:F14,D12,D15,D16)</f>
        <v>4310.75</v>
      </c>
      <c r="G17" s="467">
        <f>SUM(F17*10.7639)</f>
        <v>46400.481925</v>
      </c>
    </row>
    <row r="18" spans="1:11" ht="17.25" thickBot="1" x14ac:dyDescent="0.4">
      <c r="A18" s="932" t="s">
        <v>39</v>
      </c>
      <c r="B18" s="933"/>
      <c r="C18" s="933"/>
      <c r="D18" s="470">
        <f>SUM(D6:D16)</f>
        <v>5083.05</v>
      </c>
      <c r="E18" s="471">
        <f>SUM(E6:E16)</f>
        <v>54713.441894999996</v>
      </c>
      <c r="F18" s="459">
        <f>SUM(F11+F17)</f>
        <v>4612.3500000000004</v>
      </c>
      <c r="G18" s="423">
        <f>SUM(G11+G17)</f>
        <v>49646.874165000001</v>
      </c>
      <c r="K18" s="426"/>
    </row>
    <row r="20" spans="1:11" ht="15.75" x14ac:dyDescent="0.3">
      <c r="A20" s="548" t="s">
        <v>260</v>
      </c>
    </row>
    <row r="21" spans="1:11" ht="16.5" x14ac:dyDescent="0.35">
      <c r="A21" s="321">
        <v>4922</v>
      </c>
      <c r="B21" s="321" t="s">
        <v>253</v>
      </c>
      <c r="C21" s="549">
        <f>SUM(A21*10.7639)</f>
        <v>52979.915799999995</v>
      </c>
      <c r="D21" t="s">
        <v>252</v>
      </c>
    </row>
    <row r="24" spans="1:11" x14ac:dyDescent="0.25">
      <c r="B24" s="581"/>
      <c r="C24" s="581"/>
    </row>
    <row r="25" spans="1:11" ht="16.5" x14ac:dyDescent="0.35">
      <c r="A25" s="321"/>
      <c r="B25" s="321"/>
      <c r="C25" s="929"/>
      <c r="D25" s="928" t="s">
        <v>277</v>
      </c>
      <c r="E25" s="928"/>
      <c r="F25" s="928" t="s">
        <v>278</v>
      </c>
      <c r="G25" s="928"/>
    </row>
    <row r="26" spans="1:11" ht="16.5" x14ac:dyDescent="0.35">
      <c r="B26" s="321"/>
      <c r="C26" s="929"/>
      <c r="D26" s="584" t="s">
        <v>280</v>
      </c>
      <c r="E26" s="584" t="s">
        <v>279</v>
      </c>
      <c r="F26" s="584" t="s">
        <v>280</v>
      </c>
      <c r="G26" s="584" t="s">
        <v>279</v>
      </c>
    </row>
    <row r="27" spans="1:11" ht="16.5" x14ac:dyDescent="0.35">
      <c r="B27" s="321"/>
      <c r="C27" s="584" t="s">
        <v>275</v>
      </c>
      <c r="D27" s="583">
        <v>335</v>
      </c>
      <c r="E27" s="585">
        <f>SUM(D27*10.7639)</f>
        <v>3605.9065000000001</v>
      </c>
      <c r="F27" s="586">
        <f>D12</f>
        <v>251.5</v>
      </c>
      <c r="G27" s="587">
        <f>E12</f>
        <v>2707.1208499999998</v>
      </c>
    </row>
    <row r="28" spans="1:11" ht="16.5" x14ac:dyDescent="0.35">
      <c r="A28" s="321"/>
      <c r="B28" s="321"/>
      <c r="C28" s="584" t="s">
        <v>276</v>
      </c>
      <c r="D28" s="583">
        <v>269.89999999999998</v>
      </c>
      <c r="E28" s="585">
        <f>SUM(D28*10.7639)</f>
        <v>2905.1766099999995</v>
      </c>
      <c r="F28" s="586">
        <f>D13</f>
        <v>488.35</v>
      </c>
      <c r="G28" s="587">
        <f>E13</f>
        <v>5256.5505650000005</v>
      </c>
    </row>
    <row r="29" spans="1:11" ht="16.5" x14ac:dyDescent="0.35">
      <c r="A29" s="321"/>
      <c r="B29" s="321"/>
      <c r="C29" s="584" t="s">
        <v>55</v>
      </c>
      <c r="D29" s="588">
        <f>SUM(D27:D28)</f>
        <v>604.9</v>
      </c>
      <c r="E29" s="588">
        <f t="shared" ref="E29:G29" si="1">SUM(E27:E28)</f>
        <v>6511.0831099999996</v>
      </c>
      <c r="F29" s="588">
        <f t="shared" si="1"/>
        <v>739.85</v>
      </c>
      <c r="G29" s="588">
        <f t="shared" si="1"/>
        <v>7963.6714150000007</v>
      </c>
    </row>
    <row r="30" spans="1:11" ht="16.5" x14ac:dyDescent="0.35">
      <c r="A30" s="321"/>
      <c r="B30" s="321"/>
      <c r="C30" s="321"/>
      <c r="D30" s="321"/>
      <c r="E30" s="321"/>
      <c r="F30" s="321"/>
      <c r="G30" s="321"/>
    </row>
    <row r="31" spans="1:11" ht="16.5" x14ac:dyDescent="0.35">
      <c r="A31" s="321"/>
      <c r="B31" s="321"/>
      <c r="C31" s="321"/>
      <c r="D31" s="321"/>
      <c r="E31" s="321"/>
      <c r="F31" s="321"/>
      <c r="G31" s="321"/>
    </row>
  </sheetData>
  <mergeCells count="17">
    <mergeCell ref="D25:E25"/>
    <mergeCell ref="F25:G25"/>
    <mergeCell ref="C25:C26"/>
    <mergeCell ref="A17:C17"/>
    <mergeCell ref="A18:C18"/>
    <mergeCell ref="A12:B16"/>
    <mergeCell ref="A11:C11"/>
    <mergeCell ref="F3:G3"/>
    <mergeCell ref="A1:G2"/>
    <mergeCell ref="F4:F5"/>
    <mergeCell ref="G4:G5"/>
    <mergeCell ref="A6:B10"/>
    <mergeCell ref="E4:E5"/>
    <mergeCell ref="C4:C5"/>
    <mergeCell ref="D4:D5"/>
    <mergeCell ref="A4:B5"/>
    <mergeCell ref="D3:E3"/>
  </mergeCells>
  <printOptions horizontalCentered="1" verticalCentered="1"/>
  <pageMargins left="0.70866141732283472" right="0.31496062992125984" top="0.74803149606299213" bottom="0.74803149606299213" header="0.31496062992125984" footer="0.31496062992125984"/>
  <pageSetup paperSize="9" fitToHeight="0" orientation="landscape" r:id="rId1"/>
  <ignoredErrors>
    <ignoredError sqref="E1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78E7-678C-47AD-9A32-9C8178ACF36D}">
  <dimension ref="A1:T46"/>
  <sheetViews>
    <sheetView zoomScale="85" zoomScaleNormal="85" workbookViewId="0">
      <selection activeCell="R10" sqref="R10:R11"/>
    </sheetView>
  </sheetViews>
  <sheetFormatPr defaultRowHeight="15" x14ac:dyDescent="0.25"/>
  <cols>
    <col min="1" max="1" width="29.5703125" customWidth="1"/>
    <col min="2" max="3" width="13.28515625" customWidth="1"/>
    <col min="4" max="4" width="15.85546875" customWidth="1"/>
    <col min="5" max="5" width="14.85546875" customWidth="1"/>
    <col min="7" max="7" width="14.140625" customWidth="1"/>
    <col min="8" max="8" width="19.7109375" bestFit="1" customWidth="1"/>
    <col min="9" max="9" width="12.42578125" customWidth="1"/>
    <col min="17" max="17" width="25.42578125" customWidth="1"/>
    <col min="18" max="19" width="10.5703125" bestFit="1" customWidth="1"/>
  </cols>
  <sheetData>
    <row r="1" spans="1:20" ht="34.5" customHeight="1" thickBot="1" x14ac:dyDescent="0.35">
      <c r="A1" s="936" t="s">
        <v>231</v>
      </c>
      <c r="B1" s="938" t="s">
        <v>232</v>
      </c>
      <c r="C1" s="937"/>
      <c r="D1" s="934" t="s">
        <v>233</v>
      </c>
      <c r="E1" s="934"/>
      <c r="F1" s="2"/>
      <c r="G1" s="2"/>
    </row>
    <row r="2" spans="1:20" ht="18" thickBot="1" x14ac:dyDescent="0.4">
      <c r="A2" s="937"/>
      <c r="B2" s="527" t="s">
        <v>253</v>
      </c>
      <c r="C2" s="528" t="s">
        <v>252</v>
      </c>
      <c r="D2" s="527" t="s">
        <v>252</v>
      </c>
      <c r="E2" s="520" t="s">
        <v>252</v>
      </c>
      <c r="F2" s="2"/>
      <c r="G2" s="2"/>
    </row>
    <row r="3" spans="1:20" ht="17.25" x14ac:dyDescent="0.35">
      <c r="A3" s="524" t="s">
        <v>239</v>
      </c>
      <c r="B3" s="522">
        <v>22694</v>
      </c>
      <c r="C3" s="523">
        <f>SUM(B3*10.7639104)</f>
        <v>244276.18261760002</v>
      </c>
      <c r="D3" s="521" t="s">
        <v>82</v>
      </c>
      <c r="E3" s="521" t="s">
        <v>82</v>
      </c>
      <c r="F3" s="2"/>
      <c r="G3" s="2"/>
      <c r="K3" s="566"/>
    </row>
    <row r="4" spans="1:20" ht="17.25" x14ac:dyDescent="0.35">
      <c r="A4" s="524" t="s">
        <v>242</v>
      </c>
      <c r="B4" s="521">
        <v>342.6</v>
      </c>
      <c r="C4" s="523">
        <f t="shared" ref="C4:C9" si="0">SUM(B4*10.7639104)</f>
        <v>3687.7157030400003</v>
      </c>
      <c r="D4" s="521" t="s">
        <v>82</v>
      </c>
      <c r="E4" s="521" t="s">
        <v>82</v>
      </c>
      <c r="F4" s="2"/>
      <c r="G4" s="2"/>
    </row>
    <row r="5" spans="1:20" ht="17.25" x14ac:dyDescent="0.35">
      <c r="A5" s="524" t="s">
        <v>234</v>
      </c>
      <c r="B5" s="521">
        <v>169.5</v>
      </c>
      <c r="C5" s="523">
        <f t="shared" si="0"/>
        <v>1824.4828128000001</v>
      </c>
      <c r="D5" s="521" t="s">
        <v>82</v>
      </c>
      <c r="E5" s="521" t="s">
        <v>82</v>
      </c>
      <c r="F5" s="2"/>
      <c r="G5" s="2"/>
    </row>
    <row r="6" spans="1:20" ht="17.25" x14ac:dyDescent="0.35">
      <c r="A6" s="524" t="s">
        <v>32</v>
      </c>
      <c r="B6" s="521">
        <v>171.7</v>
      </c>
      <c r="C6" s="523">
        <f t="shared" si="0"/>
        <v>1848.1634156799998</v>
      </c>
      <c r="D6" s="521" t="s">
        <v>82</v>
      </c>
      <c r="E6" s="521" t="s">
        <v>82</v>
      </c>
      <c r="F6" s="2"/>
      <c r="G6" s="2"/>
      <c r="Q6" s="558"/>
      <c r="R6" s="558"/>
      <c r="S6" s="558"/>
    </row>
    <row r="7" spans="1:20" ht="17.25" x14ac:dyDescent="0.35">
      <c r="A7" s="524" t="s">
        <v>33</v>
      </c>
      <c r="B7" s="521">
        <v>254.5</v>
      </c>
      <c r="C7" s="523">
        <f t="shared" si="0"/>
        <v>2739.4151968000001</v>
      </c>
      <c r="D7" s="521" t="s">
        <v>82</v>
      </c>
      <c r="E7" s="521" t="s">
        <v>82</v>
      </c>
      <c r="F7" s="2"/>
      <c r="G7" s="2"/>
      <c r="N7" s="558"/>
      <c r="O7" s="558"/>
      <c r="P7" s="561"/>
      <c r="Q7" s="562" t="s">
        <v>264</v>
      </c>
      <c r="R7" s="559" t="s">
        <v>265</v>
      </c>
      <c r="S7" s="563" t="s">
        <v>266</v>
      </c>
    </row>
    <row r="8" spans="1:20" ht="17.25" x14ac:dyDescent="0.35">
      <c r="A8" s="524" t="s">
        <v>235</v>
      </c>
      <c r="B8" s="521">
        <v>2105.85</v>
      </c>
      <c r="C8" s="523">
        <f t="shared" si="0"/>
        <v>22667.180715840001</v>
      </c>
      <c r="D8" s="521" t="s">
        <v>82</v>
      </c>
      <c r="E8" s="521" t="s">
        <v>82</v>
      </c>
      <c r="F8" s="2"/>
      <c r="G8" s="2"/>
      <c r="I8" s="566"/>
      <c r="M8" s="560"/>
      <c r="N8" s="954" t="s">
        <v>263</v>
      </c>
      <c r="O8" s="954"/>
      <c r="P8" s="955"/>
      <c r="Q8" s="942" t="s">
        <v>82</v>
      </c>
      <c r="R8" s="958">
        <f>SUM(B3+B6+B7+B8+B9+B5)</f>
        <v>25677.149999999998</v>
      </c>
      <c r="S8" s="944">
        <f>R8</f>
        <v>25677.149999999998</v>
      </c>
    </row>
    <row r="9" spans="1:20" ht="17.25" x14ac:dyDescent="0.35">
      <c r="A9" s="524" t="s">
        <v>236</v>
      </c>
      <c r="B9" s="521">
        <v>281.60000000000002</v>
      </c>
      <c r="C9" s="523">
        <f t="shared" si="0"/>
        <v>3031.1171686400003</v>
      </c>
      <c r="D9" s="521" t="s">
        <v>82</v>
      </c>
      <c r="E9" s="521" t="s">
        <v>82</v>
      </c>
      <c r="F9" s="2"/>
      <c r="G9" s="2"/>
      <c r="I9" s="567"/>
      <c r="M9" s="560"/>
      <c r="N9" s="956"/>
      <c r="O9" s="956"/>
      <c r="P9" s="957"/>
      <c r="Q9" s="943"/>
      <c r="R9" s="959"/>
      <c r="S9" s="945"/>
    </row>
    <row r="10" spans="1:20" ht="16.5" x14ac:dyDescent="0.3">
      <c r="A10" s="524" t="s">
        <v>237</v>
      </c>
      <c r="B10" s="537" t="s">
        <v>82</v>
      </c>
      <c r="C10" s="345" t="s">
        <v>82</v>
      </c>
      <c r="D10" s="533">
        <f>SUM(D21+B21)</f>
        <v>3351.7840000000006</v>
      </c>
      <c r="E10" s="532">
        <f>SUM(D10*10.7639104)</f>
        <v>36078.30265615361</v>
      </c>
      <c r="F10" s="2"/>
      <c r="G10" s="2"/>
      <c r="M10" s="560"/>
      <c r="N10" s="948" t="s">
        <v>267</v>
      </c>
      <c r="O10" s="948"/>
      <c r="P10" s="949"/>
      <c r="Q10" s="946">
        <f>R16</f>
        <v>25370.745999999999</v>
      </c>
      <c r="R10" s="942">
        <f>B4</f>
        <v>342.6</v>
      </c>
      <c r="S10" s="953">
        <f>SUM(R10-Q10)</f>
        <v>-25028.146000000001</v>
      </c>
    </row>
    <row r="11" spans="1:20" ht="17.25" thickBot="1" x14ac:dyDescent="0.35">
      <c r="A11" s="356" t="s">
        <v>238</v>
      </c>
      <c r="B11" s="539" t="s">
        <v>82</v>
      </c>
      <c r="C11" s="540" t="s">
        <v>82</v>
      </c>
      <c r="D11" s="530">
        <f>SUM(F24+H24)</f>
        <v>1523.67</v>
      </c>
      <c r="E11" s="536">
        <f>SUM(D11*10.7639104)</f>
        <v>16400.647359168001</v>
      </c>
      <c r="F11" s="2"/>
      <c r="G11" s="2"/>
      <c r="M11" s="560"/>
      <c r="N11" s="950"/>
      <c r="O11" s="950"/>
      <c r="P11" s="951"/>
      <c r="Q11" s="947"/>
      <c r="R11" s="952"/>
      <c r="S11" s="952"/>
    </row>
    <row r="12" spans="1:20" ht="17.25" thickBot="1" x14ac:dyDescent="0.35">
      <c r="A12" s="529" t="s">
        <v>55</v>
      </c>
      <c r="B12" s="544">
        <f>SUM(B3:B9)</f>
        <v>26019.749999999996</v>
      </c>
      <c r="C12" s="303">
        <f>SUM(C3:C9)</f>
        <v>280074.25763040007</v>
      </c>
      <c r="D12" s="565">
        <f>SUM(D10:D11)</f>
        <v>4875.4540000000006</v>
      </c>
      <c r="E12" s="303">
        <f>SUM(E10:E11)</f>
        <v>52478.950015321607</v>
      </c>
      <c r="F12" s="2"/>
      <c r="G12" s="2"/>
      <c r="M12" s="560"/>
      <c r="N12" s="939" t="s">
        <v>274</v>
      </c>
      <c r="O12" s="940"/>
      <c r="P12" s="941"/>
      <c r="Q12" s="569">
        <f>SUM(Q8:Q11)</f>
        <v>25370.745999999999</v>
      </c>
      <c r="R12" s="570">
        <f>SUM(R8:R11)</f>
        <v>26019.749999999996</v>
      </c>
      <c r="S12" s="571">
        <f>SUM(S8:S11)</f>
        <v>649.00399999999718</v>
      </c>
      <c r="T12" s="564"/>
    </row>
    <row r="13" spans="1:20" ht="16.5" x14ac:dyDescent="0.3">
      <c r="A13" s="535"/>
      <c r="B13" s="541"/>
      <c r="C13" s="542"/>
      <c r="D13" s="543"/>
      <c r="E13" s="542"/>
      <c r="F13" s="2"/>
      <c r="G13" s="2"/>
    </row>
    <row r="14" spans="1:20" ht="17.25" thickBot="1" x14ac:dyDescent="0.35">
      <c r="A14" s="2"/>
      <c r="B14" s="2"/>
      <c r="C14" s="2"/>
      <c r="D14" s="2"/>
      <c r="E14" s="2"/>
      <c r="F14" s="2"/>
      <c r="G14" s="2"/>
      <c r="O14" s="557"/>
    </row>
    <row r="15" spans="1:20" ht="16.5" x14ac:dyDescent="0.3">
      <c r="A15" s="2"/>
      <c r="B15" s="2"/>
      <c r="C15" s="2"/>
      <c r="D15" s="2"/>
      <c r="E15" s="2"/>
      <c r="F15" s="2"/>
      <c r="G15" s="2"/>
      <c r="N15" s="572" t="s">
        <v>271</v>
      </c>
      <c r="O15" s="573"/>
      <c r="P15" s="573"/>
      <c r="Q15" s="576"/>
      <c r="R15" s="577">
        <f>SUM(B21+F24+H24+D21)</f>
        <v>4875.4540000000006</v>
      </c>
    </row>
    <row r="16" spans="1:20" ht="17.25" thickBot="1" x14ac:dyDescent="0.35">
      <c r="A16" s="936" t="s">
        <v>237</v>
      </c>
      <c r="B16" s="934" t="s">
        <v>241</v>
      </c>
      <c r="C16" s="935"/>
      <c r="D16" s="934" t="s">
        <v>240</v>
      </c>
      <c r="E16" s="935"/>
      <c r="F16" s="2"/>
      <c r="G16" s="2"/>
      <c r="N16" s="580" t="s">
        <v>272</v>
      </c>
      <c r="O16" s="579"/>
      <c r="P16" s="578"/>
      <c r="Q16" s="575"/>
      <c r="R16" s="574">
        <f>P24-R15</f>
        <v>25370.745999999999</v>
      </c>
    </row>
    <row r="17" spans="1:18" ht="17.25" thickBot="1" x14ac:dyDescent="0.35">
      <c r="A17" s="937"/>
      <c r="B17" s="534" t="s">
        <v>253</v>
      </c>
      <c r="C17" s="526" t="s">
        <v>252</v>
      </c>
      <c r="D17" s="534" t="s">
        <v>253</v>
      </c>
      <c r="E17" s="526" t="s">
        <v>252</v>
      </c>
      <c r="F17" s="2"/>
      <c r="G17" s="2"/>
    </row>
    <row r="18" spans="1:18" ht="16.5" x14ac:dyDescent="0.3">
      <c r="A18" s="524" t="s">
        <v>247</v>
      </c>
      <c r="B18" s="532">
        <f>B31</f>
        <v>15.587999999999999</v>
      </c>
      <c r="C18" s="414">
        <f>SUM(B18*10.7639104)</f>
        <v>167.7878353152</v>
      </c>
      <c r="D18" s="532">
        <f>D31</f>
        <v>483.29600000000005</v>
      </c>
      <c r="E18" s="524">
        <f>SUM(D18*10.7639104)</f>
        <v>5202.1548406784004</v>
      </c>
      <c r="F18" s="2"/>
      <c r="G18" s="2"/>
      <c r="R18" s="582"/>
    </row>
    <row r="19" spans="1:18" ht="15.75" thickBot="1" x14ac:dyDescent="0.3">
      <c r="A19" s="524" t="s">
        <v>248</v>
      </c>
      <c r="B19" s="531">
        <v>1943.41</v>
      </c>
      <c r="C19" s="414">
        <f>SUM(B19*10.7639104)</f>
        <v>20918.691110464002</v>
      </c>
      <c r="D19" s="531" t="s">
        <v>82</v>
      </c>
      <c r="E19" s="524" t="s">
        <v>82</v>
      </c>
      <c r="F19" s="934" t="s">
        <v>250</v>
      </c>
      <c r="G19" s="935"/>
      <c r="H19" s="934" t="s">
        <v>251</v>
      </c>
      <c r="I19" s="934"/>
    </row>
    <row r="20" spans="1:18" ht="15.75" thickBot="1" x14ac:dyDescent="0.3">
      <c r="A20" s="356" t="s">
        <v>249</v>
      </c>
      <c r="B20" s="530">
        <v>909.49</v>
      </c>
      <c r="C20" s="423">
        <f>SUM(B20*10.7639104)</f>
        <v>9789.6688696960009</v>
      </c>
      <c r="D20" s="530" t="s">
        <v>82</v>
      </c>
      <c r="E20" s="356" t="s">
        <v>82</v>
      </c>
      <c r="F20" s="534" t="s">
        <v>253</v>
      </c>
      <c r="G20" s="526" t="s">
        <v>252</v>
      </c>
      <c r="H20" s="534" t="s">
        <v>253</v>
      </c>
      <c r="I20" s="534" t="s">
        <v>252</v>
      </c>
    </row>
    <row r="21" spans="1:18" ht="16.5" x14ac:dyDescent="0.25">
      <c r="A21" s="529" t="s">
        <v>55</v>
      </c>
      <c r="B21" s="244">
        <f>SUM(B18:B20)</f>
        <v>2868.4880000000003</v>
      </c>
      <c r="C21" s="538">
        <f t="shared" ref="C21:I24" si="1">SUM(C18:C20)</f>
        <v>30876.147815475204</v>
      </c>
      <c r="D21" s="244">
        <f t="shared" si="1"/>
        <v>483.29600000000005</v>
      </c>
      <c r="E21" s="525">
        <f t="shared" si="1"/>
        <v>5202.1548406784004</v>
      </c>
      <c r="F21" s="531">
        <v>783.82</v>
      </c>
      <c r="G21" s="414">
        <f>SUM(F21*10.7639104)</f>
        <v>8436.968249728001</v>
      </c>
      <c r="H21" s="531">
        <v>739.85</v>
      </c>
      <c r="I21" s="532">
        <f>SUM(H21*10.7639104)</f>
        <v>7963.6791094400005</v>
      </c>
    </row>
    <row r="22" spans="1:18" x14ac:dyDescent="0.25">
      <c r="A22" s="244"/>
      <c r="B22" s="531"/>
      <c r="C22" s="532"/>
      <c r="D22" s="531"/>
      <c r="E22" s="531"/>
      <c r="F22" s="531" t="s">
        <v>82</v>
      </c>
      <c r="G22" s="524" t="s">
        <v>82</v>
      </c>
      <c r="H22" s="531" t="s">
        <v>82</v>
      </c>
      <c r="I22" s="531" t="s">
        <v>82</v>
      </c>
    </row>
    <row r="23" spans="1:18" ht="15.75" thickBot="1" x14ac:dyDescent="0.3">
      <c r="A23" s="244"/>
      <c r="B23" s="531"/>
      <c r="C23" s="532"/>
      <c r="D23" s="531"/>
      <c r="E23" s="531"/>
      <c r="F23" s="530" t="s">
        <v>82</v>
      </c>
      <c r="G23" s="356" t="s">
        <v>82</v>
      </c>
      <c r="H23" s="530" t="s">
        <v>82</v>
      </c>
      <c r="I23" s="530" t="s">
        <v>82</v>
      </c>
    </row>
    <row r="24" spans="1:18" ht="15.75" thickBot="1" x14ac:dyDescent="0.3">
      <c r="A24" s="531"/>
      <c r="B24" s="531"/>
      <c r="C24" s="531"/>
      <c r="D24" s="531"/>
      <c r="E24" s="531"/>
      <c r="F24" s="244">
        <f t="shared" si="1"/>
        <v>783.82</v>
      </c>
      <c r="G24" s="538">
        <f t="shared" si="1"/>
        <v>8436.968249728001</v>
      </c>
      <c r="H24" s="244">
        <f t="shared" si="1"/>
        <v>739.85</v>
      </c>
      <c r="I24" s="303">
        <f t="shared" si="1"/>
        <v>7963.6791094400005</v>
      </c>
      <c r="N24" s="939" t="s">
        <v>273</v>
      </c>
      <c r="O24" s="940"/>
      <c r="P24" s="568">
        <v>30246.2</v>
      </c>
    </row>
    <row r="25" spans="1:18" ht="15.75" thickBot="1" x14ac:dyDescent="0.3">
      <c r="A25" s="761" t="s">
        <v>259</v>
      </c>
      <c r="B25" s="934" t="s">
        <v>254</v>
      </c>
      <c r="C25" s="937"/>
      <c r="D25" s="934" t="s">
        <v>255</v>
      </c>
      <c r="E25" s="934"/>
      <c r="F25" s="531"/>
      <c r="G25" s="532"/>
      <c r="H25" s="531"/>
      <c r="I25" s="532"/>
    </row>
    <row r="26" spans="1:18" ht="15.75" thickBot="1" x14ac:dyDescent="0.3">
      <c r="A26" s="759"/>
      <c r="B26" s="534" t="s">
        <v>253</v>
      </c>
      <c r="C26" s="526" t="s">
        <v>252</v>
      </c>
      <c r="D26" s="534" t="s">
        <v>253</v>
      </c>
      <c r="E26" s="534" t="s">
        <v>252</v>
      </c>
      <c r="F26" s="531"/>
      <c r="G26" s="532"/>
      <c r="H26" s="531"/>
      <c r="I26" s="532"/>
      <c r="N26" t="s">
        <v>269</v>
      </c>
      <c r="R26">
        <f>SUM(B4)</f>
        <v>342.6</v>
      </c>
    </row>
    <row r="27" spans="1:18" x14ac:dyDescent="0.25">
      <c r="A27" s="524" t="s">
        <v>243</v>
      </c>
      <c r="B27" s="531" t="s">
        <v>82</v>
      </c>
      <c r="C27" s="524" t="s">
        <v>82</v>
      </c>
      <c r="D27" s="532">
        <v>349.36900000000003</v>
      </c>
      <c r="E27" s="532">
        <f>SUM(D27*10.7639104)</f>
        <v>3760.5766125376003</v>
      </c>
      <c r="F27" s="531"/>
      <c r="G27" s="531"/>
      <c r="H27" s="531"/>
      <c r="I27" s="531"/>
      <c r="N27" t="s">
        <v>268</v>
      </c>
      <c r="R27" s="566">
        <f>SUM(D10+D11)</f>
        <v>4875.4540000000006</v>
      </c>
    </row>
    <row r="28" spans="1:18" x14ac:dyDescent="0.25">
      <c r="A28" s="524" t="s">
        <v>245</v>
      </c>
      <c r="B28" s="531" t="s">
        <v>82</v>
      </c>
      <c r="C28" s="524" t="s">
        <v>82</v>
      </c>
      <c r="D28" s="532">
        <v>64.927000000000007</v>
      </c>
      <c r="E28" s="533">
        <f>SUM(D28*10.7639104)</f>
        <v>698.86841054080014</v>
      </c>
      <c r="F28" s="531"/>
      <c r="G28" s="531"/>
      <c r="H28" s="531"/>
      <c r="I28" s="531"/>
      <c r="N28" t="s">
        <v>270</v>
      </c>
      <c r="R28" s="567">
        <f>SUM(R26:R27)</f>
        <v>5218.054000000001</v>
      </c>
    </row>
    <row r="29" spans="1:18" x14ac:dyDescent="0.25">
      <c r="A29" s="524" t="s">
        <v>244</v>
      </c>
      <c r="B29" s="532">
        <v>15.587999999999999</v>
      </c>
      <c r="C29" s="414">
        <f>SUM(B29*10.7639104)</f>
        <v>167.7878353152</v>
      </c>
      <c r="D29" s="531" t="s">
        <v>82</v>
      </c>
      <c r="E29" s="531" t="s">
        <v>82</v>
      </c>
      <c r="F29" s="531"/>
      <c r="G29" s="531"/>
      <c r="H29" s="531"/>
      <c r="I29" s="531"/>
    </row>
    <row r="30" spans="1:18" ht="15.75" thickBot="1" x14ac:dyDescent="0.3">
      <c r="A30" s="356" t="s">
        <v>246</v>
      </c>
      <c r="B30" s="530" t="s">
        <v>82</v>
      </c>
      <c r="C30" s="356" t="s">
        <v>82</v>
      </c>
      <c r="D30" s="530">
        <v>69</v>
      </c>
      <c r="E30" s="536">
        <f>SUM(D30*10.7639104)</f>
        <v>742.70981760000006</v>
      </c>
      <c r="F30" s="531"/>
      <c r="G30" s="531"/>
      <c r="H30" s="531"/>
      <c r="I30" s="531"/>
    </row>
    <row r="31" spans="1:18" ht="16.5" x14ac:dyDescent="0.25">
      <c r="A31" s="545" t="s">
        <v>55</v>
      </c>
      <c r="B31" s="303">
        <f>SUM(B27:B30)</f>
        <v>15.587999999999999</v>
      </c>
      <c r="C31" s="303">
        <f>SUM(C27:C30)</f>
        <v>167.7878353152</v>
      </c>
      <c r="D31" s="303">
        <f>SUM(D27:D30)</f>
        <v>483.29600000000005</v>
      </c>
      <c r="E31" s="303">
        <f>SUM(E27:E30)</f>
        <v>5202.1548406784004</v>
      </c>
      <c r="F31" s="531"/>
      <c r="G31" s="531"/>
      <c r="H31" s="531"/>
      <c r="I31" s="531"/>
    </row>
    <row r="32" spans="1:18" ht="16.5" x14ac:dyDescent="0.3">
      <c r="A32" s="2"/>
      <c r="B32" s="2"/>
      <c r="C32" s="2"/>
      <c r="D32" s="531"/>
      <c r="E32" s="531"/>
      <c r="F32" s="531"/>
      <c r="G32" s="531"/>
      <c r="H32" s="531"/>
      <c r="I32" s="531"/>
    </row>
    <row r="33" spans="1:9" ht="16.5" x14ac:dyDescent="0.3">
      <c r="A33" s="2"/>
      <c r="B33" s="2"/>
      <c r="C33" s="2"/>
      <c r="D33" s="2"/>
      <c r="E33" s="2"/>
      <c r="F33" s="531"/>
      <c r="G33" s="531"/>
      <c r="H33" s="531"/>
      <c r="I33" s="531"/>
    </row>
    <row r="34" spans="1:9" ht="17.25" thickBot="1" x14ac:dyDescent="0.35">
      <c r="A34" s="936" t="s">
        <v>256</v>
      </c>
      <c r="B34" s="934" t="s">
        <v>254</v>
      </c>
      <c r="C34" s="937"/>
      <c r="D34" s="934" t="s">
        <v>255</v>
      </c>
      <c r="E34" s="934"/>
      <c r="F34" s="2"/>
      <c r="G34" s="2"/>
    </row>
    <row r="35" spans="1:9" ht="17.25" thickBot="1" x14ac:dyDescent="0.35">
      <c r="A35" s="935"/>
      <c r="B35" s="534" t="s">
        <v>253</v>
      </c>
      <c r="C35" s="526" t="s">
        <v>252</v>
      </c>
      <c r="D35" s="534" t="s">
        <v>253</v>
      </c>
      <c r="E35" s="534" t="s">
        <v>252</v>
      </c>
      <c r="F35" s="2"/>
      <c r="G35" s="2"/>
    </row>
    <row r="36" spans="1:9" ht="16.5" x14ac:dyDescent="0.3">
      <c r="A36" s="524" t="s">
        <v>247</v>
      </c>
      <c r="B36" s="532">
        <v>2855.8</v>
      </c>
      <c r="C36" s="546">
        <f>SUM(B36*10.7639104)</f>
        <v>30739.575320320004</v>
      </c>
      <c r="D36" s="532">
        <v>237.63800000000001</v>
      </c>
      <c r="E36" s="532">
        <f>SUM(D36*10.7639104)</f>
        <v>2557.9141396352002</v>
      </c>
      <c r="F36" s="2"/>
      <c r="G36" s="2"/>
    </row>
    <row r="37" spans="1:9" ht="17.25" x14ac:dyDescent="0.35">
      <c r="A37" s="524" t="s">
        <v>257</v>
      </c>
      <c r="B37" s="531">
        <v>2809.96</v>
      </c>
      <c r="C37" s="414">
        <f t="shared" ref="C37:C39" si="2">SUM(B37*10.7639104)</f>
        <v>30246.157667584001</v>
      </c>
      <c r="D37" s="531" t="s">
        <v>82</v>
      </c>
      <c r="E37" s="532" t="s">
        <v>82</v>
      </c>
      <c r="F37" s="321"/>
      <c r="G37" s="2"/>
    </row>
    <row r="38" spans="1:9" ht="17.25" x14ac:dyDescent="0.35">
      <c r="A38" s="524" t="s">
        <v>152</v>
      </c>
      <c r="B38" s="531">
        <v>3071.05</v>
      </c>
      <c r="C38" s="414">
        <f t="shared" si="2"/>
        <v>33056.507033920003</v>
      </c>
      <c r="D38" s="531" t="s">
        <v>82</v>
      </c>
      <c r="E38" s="532" t="s">
        <v>82</v>
      </c>
      <c r="F38" s="321"/>
      <c r="G38" s="2"/>
    </row>
    <row r="39" spans="1:9" ht="17.25" x14ac:dyDescent="0.35">
      <c r="A39" s="524" t="s">
        <v>258</v>
      </c>
      <c r="B39" s="531">
        <v>3035.99</v>
      </c>
      <c r="C39" s="414">
        <f t="shared" si="2"/>
        <v>32679.124335295997</v>
      </c>
      <c r="D39" s="531" t="s">
        <v>82</v>
      </c>
      <c r="E39" s="532" t="s">
        <v>82</v>
      </c>
      <c r="F39" s="321"/>
      <c r="G39" s="38"/>
    </row>
    <row r="40" spans="1:9" ht="18" thickBot="1" x14ac:dyDescent="0.4">
      <c r="A40" s="356" t="s">
        <v>154</v>
      </c>
      <c r="B40" s="530" t="s">
        <v>82</v>
      </c>
      <c r="C40" s="356" t="s">
        <v>82</v>
      </c>
      <c r="D40" s="530">
        <v>2723.0590000000002</v>
      </c>
      <c r="E40" s="536">
        <f t="shared" ref="E40" si="3">SUM(D40*10.7639104)</f>
        <v>29310.763089913602</v>
      </c>
      <c r="F40" s="321"/>
      <c r="G40" s="2"/>
    </row>
    <row r="41" spans="1:9" ht="17.25" x14ac:dyDescent="0.35">
      <c r="A41" s="529" t="s">
        <v>55</v>
      </c>
      <c r="B41" s="303">
        <f>SUM(B36:B40)</f>
        <v>11772.800000000001</v>
      </c>
      <c r="C41" s="547">
        <f>SUM(C36:C40)</f>
        <v>126721.36435712001</v>
      </c>
      <c r="D41" s="303">
        <f t="shared" ref="D41:E41" si="4">SUM(D36:D40)</f>
        <v>2960.6970000000001</v>
      </c>
      <c r="E41" s="303">
        <f t="shared" si="4"/>
        <v>31868.677229548801</v>
      </c>
      <c r="F41" s="321"/>
      <c r="G41" s="2"/>
    </row>
    <row r="42" spans="1:9" ht="17.25" x14ac:dyDescent="0.35">
      <c r="A42" s="2"/>
      <c r="B42" s="2"/>
      <c r="C42" s="2"/>
      <c r="D42" s="2"/>
      <c r="E42" s="2"/>
      <c r="F42" s="321"/>
      <c r="G42" s="2"/>
    </row>
    <row r="43" spans="1:9" ht="17.25" x14ac:dyDescent="0.35">
      <c r="A43" s="2"/>
      <c r="B43" s="2"/>
      <c r="C43" s="2"/>
      <c r="D43" s="2"/>
      <c r="E43" s="2"/>
      <c r="F43" s="321"/>
      <c r="G43" s="2"/>
    </row>
    <row r="44" spans="1:9" ht="17.25" x14ac:dyDescent="0.35">
      <c r="F44" s="321"/>
      <c r="G44" s="2"/>
    </row>
    <row r="45" spans="1:9" ht="16.5" x14ac:dyDescent="0.3">
      <c r="F45" s="2"/>
      <c r="G45" s="2"/>
    </row>
    <row r="46" spans="1:9" ht="16.5" x14ac:dyDescent="0.3">
      <c r="F46" s="2"/>
      <c r="G46" s="2"/>
    </row>
  </sheetData>
  <mergeCells count="24">
    <mergeCell ref="N24:O24"/>
    <mergeCell ref="N12:P12"/>
    <mergeCell ref="Q8:Q9"/>
    <mergeCell ref="S8:S9"/>
    <mergeCell ref="Q10:Q11"/>
    <mergeCell ref="N10:P11"/>
    <mergeCell ref="R10:R11"/>
    <mergeCell ref="S10:S11"/>
    <mergeCell ref="N8:P9"/>
    <mergeCell ref="R8:R9"/>
    <mergeCell ref="A1:A2"/>
    <mergeCell ref="B1:C1"/>
    <mergeCell ref="D1:E1"/>
    <mergeCell ref="A34:A35"/>
    <mergeCell ref="B34:C34"/>
    <mergeCell ref="D34:E34"/>
    <mergeCell ref="A25:A26"/>
    <mergeCell ref="B16:C16"/>
    <mergeCell ref="D16:E16"/>
    <mergeCell ref="F19:G19"/>
    <mergeCell ref="H19:I19"/>
    <mergeCell ref="A16:A17"/>
    <mergeCell ref="B25:C25"/>
    <mergeCell ref="D25:E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B2EFC-6537-492A-926B-4D868413C443}">
  <sheetPr>
    <pageSetUpPr fitToPage="1"/>
  </sheetPr>
  <dimension ref="B1:M26"/>
  <sheetViews>
    <sheetView zoomScale="55" zoomScaleNormal="55" workbookViewId="0">
      <selection activeCell="C3" sqref="C3:C6"/>
    </sheetView>
  </sheetViews>
  <sheetFormatPr defaultRowHeight="15" x14ac:dyDescent="0.25"/>
  <cols>
    <col min="1" max="2" width="9.140625" customWidth="1"/>
    <col min="3" max="3" width="25.7109375" customWidth="1"/>
    <col min="4" max="8" width="14.7109375" customWidth="1"/>
    <col min="9" max="9" width="38.28515625" customWidth="1"/>
    <col min="10" max="10" width="30.7109375" customWidth="1"/>
    <col min="11" max="12" width="14.7109375" customWidth="1"/>
    <col min="13" max="13" width="15.7109375" customWidth="1"/>
    <col min="14" max="22" width="14.7109375" customWidth="1"/>
  </cols>
  <sheetData>
    <row r="1" spans="3:13" ht="15" customHeight="1" x14ac:dyDescent="0.25"/>
    <row r="2" spans="3:13" ht="15" customHeight="1" thickBot="1" x14ac:dyDescent="0.3"/>
    <row r="3" spans="3:13" ht="15.75" customHeight="1" x14ac:dyDescent="0.25">
      <c r="C3" s="889"/>
      <c r="D3" s="963" t="s">
        <v>99</v>
      </c>
      <c r="E3" s="964"/>
      <c r="F3" s="964"/>
      <c r="G3" s="964"/>
      <c r="H3" s="964"/>
      <c r="I3" s="964"/>
      <c r="J3" s="964"/>
      <c r="K3" s="964"/>
      <c r="L3" s="964"/>
      <c r="M3" s="965"/>
    </row>
    <row r="4" spans="3:13" ht="21" customHeight="1" x14ac:dyDescent="0.25">
      <c r="C4" s="890"/>
      <c r="D4" s="966"/>
      <c r="E4" s="967"/>
      <c r="F4" s="967"/>
      <c r="G4" s="967"/>
      <c r="H4" s="967"/>
      <c r="I4" s="967"/>
      <c r="J4" s="967"/>
      <c r="K4" s="967"/>
      <c r="L4" s="967"/>
      <c r="M4" s="968"/>
    </row>
    <row r="5" spans="3:13" ht="15.75" customHeight="1" x14ac:dyDescent="0.25">
      <c r="C5" s="890"/>
      <c r="D5" s="969" t="s">
        <v>44</v>
      </c>
      <c r="E5" s="970"/>
      <c r="F5" s="970"/>
      <c r="G5" s="970"/>
      <c r="H5" s="970"/>
      <c r="I5" s="970"/>
      <c r="J5" s="970"/>
      <c r="K5" s="970"/>
      <c r="L5" s="970"/>
      <c r="M5" s="971"/>
    </row>
    <row r="6" spans="3:13" ht="15.75" customHeight="1" thickBot="1" x14ac:dyDescent="0.3">
      <c r="C6" s="891"/>
      <c r="D6" s="612" t="s">
        <v>20</v>
      </c>
      <c r="E6" s="613" t="s">
        <v>45</v>
      </c>
      <c r="F6" s="613" t="s">
        <v>21</v>
      </c>
      <c r="G6" s="590" t="s">
        <v>22</v>
      </c>
      <c r="H6" s="614" t="s">
        <v>283</v>
      </c>
      <c r="I6" s="613" t="s">
        <v>321</v>
      </c>
      <c r="J6" s="613" t="s">
        <v>322</v>
      </c>
      <c r="K6" s="590" t="s">
        <v>282</v>
      </c>
      <c r="L6" s="615" t="s">
        <v>27</v>
      </c>
      <c r="M6" s="591" t="s">
        <v>281</v>
      </c>
    </row>
    <row r="7" spans="3:13" ht="17.25" thickTop="1" x14ac:dyDescent="0.35">
      <c r="C7" s="593" t="s">
        <v>303</v>
      </c>
      <c r="D7" s="594"/>
      <c r="E7" s="595"/>
      <c r="F7" s="595"/>
      <c r="G7" s="595"/>
      <c r="H7" s="595"/>
      <c r="I7" s="595"/>
      <c r="J7" s="595"/>
      <c r="K7" s="595"/>
      <c r="L7" s="596"/>
      <c r="M7" s="597"/>
    </row>
    <row r="8" spans="3:13" ht="16.5" x14ac:dyDescent="0.25">
      <c r="C8" s="616" t="s">
        <v>284</v>
      </c>
      <c r="D8" s="598">
        <v>19.600000000000001</v>
      </c>
      <c r="E8" s="599">
        <v>30.9</v>
      </c>
      <c r="F8" s="599">
        <v>28.9</v>
      </c>
      <c r="G8" s="599">
        <v>0.7</v>
      </c>
      <c r="H8" s="599">
        <v>121.9</v>
      </c>
      <c r="I8" s="599">
        <v>32.799999999999997</v>
      </c>
      <c r="J8" s="599" t="s">
        <v>82</v>
      </c>
      <c r="K8" s="599" t="s">
        <v>82</v>
      </c>
      <c r="L8" s="600" t="s">
        <v>82</v>
      </c>
      <c r="M8" s="601">
        <f>SUM(D8:L8)</f>
        <v>234.8</v>
      </c>
    </row>
    <row r="9" spans="3:13" ht="16.5" x14ac:dyDescent="0.25">
      <c r="C9" s="617" t="s">
        <v>285</v>
      </c>
      <c r="D9" s="602">
        <v>30.6</v>
      </c>
      <c r="E9" s="603">
        <v>5.6</v>
      </c>
      <c r="F9" s="603">
        <v>23.4</v>
      </c>
      <c r="G9" s="603">
        <v>9.9</v>
      </c>
      <c r="H9" s="603">
        <v>13.8</v>
      </c>
      <c r="I9" s="603">
        <v>21.6</v>
      </c>
      <c r="J9" s="603">
        <v>1.1000000000000001</v>
      </c>
      <c r="K9" s="603" t="s">
        <v>82</v>
      </c>
      <c r="L9" s="610">
        <v>51.9</v>
      </c>
      <c r="M9" s="611">
        <f t="shared" ref="M9:M25" si="0">SUM(D9:L9)</f>
        <v>157.9</v>
      </c>
    </row>
    <row r="10" spans="3:13" ht="16.5" x14ac:dyDescent="0.25">
      <c r="C10" s="617" t="s">
        <v>286</v>
      </c>
      <c r="D10" s="602" t="s">
        <v>82</v>
      </c>
      <c r="E10" s="603" t="s">
        <v>82</v>
      </c>
      <c r="F10" s="603" t="s">
        <v>82</v>
      </c>
      <c r="G10" s="603">
        <v>12.6</v>
      </c>
      <c r="H10" s="603" t="s">
        <v>82</v>
      </c>
      <c r="I10" s="603">
        <v>7</v>
      </c>
      <c r="J10" s="603" t="s">
        <v>82</v>
      </c>
      <c r="K10" s="603" t="s">
        <v>82</v>
      </c>
      <c r="L10" s="604" t="s">
        <v>82</v>
      </c>
      <c r="M10" s="601">
        <f t="shared" si="0"/>
        <v>19.600000000000001</v>
      </c>
    </row>
    <row r="11" spans="3:13" ht="16.5" x14ac:dyDescent="0.25">
      <c r="C11" s="617" t="s">
        <v>287</v>
      </c>
      <c r="D11" s="602">
        <v>2</v>
      </c>
      <c r="E11" s="603" t="s">
        <v>82</v>
      </c>
      <c r="F11" s="603">
        <v>3.1</v>
      </c>
      <c r="G11" s="603">
        <v>6.3</v>
      </c>
      <c r="H11" s="603" t="s">
        <v>82</v>
      </c>
      <c r="I11" s="603" t="s">
        <v>82</v>
      </c>
      <c r="J11" s="603" t="s">
        <v>82</v>
      </c>
      <c r="K11" s="603" t="s">
        <v>82</v>
      </c>
      <c r="L11" s="604" t="s">
        <v>82</v>
      </c>
      <c r="M11" s="601">
        <f t="shared" si="0"/>
        <v>11.399999999999999</v>
      </c>
    </row>
    <row r="12" spans="3:13" ht="16.5" x14ac:dyDescent="0.25">
      <c r="C12" s="617" t="s">
        <v>288</v>
      </c>
      <c r="D12" s="602" t="s">
        <v>82</v>
      </c>
      <c r="E12" s="603">
        <v>21.4</v>
      </c>
      <c r="F12" s="603" t="s">
        <v>82</v>
      </c>
      <c r="G12" s="603" t="s">
        <v>82</v>
      </c>
      <c r="H12" s="603" t="s">
        <v>82</v>
      </c>
      <c r="I12" s="603">
        <v>31.5</v>
      </c>
      <c r="J12" s="603" t="s">
        <v>82</v>
      </c>
      <c r="K12" s="603" t="s">
        <v>82</v>
      </c>
      <c r="L12" s="604" t="s">
        <v>82</v>
      </c>
      <c r="M12" s="601">
        <f t="shared" si="0"/>
        <v>52.9</v>
      </c>
    </row>
    <row r="13" spans="3:13" ht="16.5" x14ac:dyDescent="0.25">
      <c r="C13" s="617" t="s">
        <v>289</v>
      </c>
      <c r="D13" s="602" t="s">
        <v>82</v>
      </c>
      <c r="E13" s="603" t="s">
        <v>82</v>
      </c>
      <c r="F13" s="603" t="s">
        <v>82</v>
      </c>
      <c r="G13" s="603" t="s">
        <v>82</v>
      </c>
      <c r="H13" s="603">
        <v>7.7</v>
      </c>
      <c r="I13" s="603">
        <v>3.2</v>
      </c>
      <c r="J13" s="603" t="s">
        <v>82</v>
      </c>
      <c r="K13" s="603" t="s">
        <v>82</v>
      </c>
      <c r="L13" s="604">
        <v>5</v>
      </c>
      <c r="M13" s="601">
        <f t="shared" si="0"/>
        <v>15.9</v>
      </c>
    </row>
    <row r="14" spans="3:13" ht="16.5" x14ac:dyDescent="0.25">
      <c r="C14" s="617" t="s">
        <v>290</v>
      </c>
      <c r="D14" s="602" t="s">
        <v>82</v>
      </c>
      <c r="E14" s="603">
        <v>14.7</v>
      </c>
      <c r="F14" s="603">
        <v>4</v>
      </c>
      <c r="G14" s="603">
        <v>11.6</v>
      </c>
      <c r="H14" s="603" t="s">
        <v>82</v>
      </c>
      <c r="I14" s="603">
        <v>45.2</v>
      </c>
      <c r="J14" s="603">
        <v>43.6</v>
      </c>
      <c r="K14" s="603">
        <v>5.2</v>
      </c>
      <c r="L14" s="604" t="s">
        <v>82</v>
      </c>
      <c r="M14" s="601">
        <f t="shared" si="0"/>
        <v>124.3</v>
      </c>
    </row>
    <row r="15" spans="3:13" ht="16.5" x14ac:dyDescent="0.25">
      <c r="C15" s="617" t="s">
        <v>291</v>
      </c>
      <c r="D15" s="602" t="s">
        <v>82</v>
      </c>
      <c r="E15" s="603">
        <v>23.7</v>
      </c>
      <c r="F15" s="603">
        <v>1.3</v>
      </c>
      <c r="G15" s="603">
        <v>2.6</v>
      </c>
      <c r="H15" s="603" t="s">
        <v>82</v>
      </c>
      <c r="I15" s="603">
        <v>100.4</v>
      </c>
      <c r="J15" s="603">
        <v>423.6</v>
      </c>
      <c r="K15" s="603">
        <v>116.8</v>
      </c>
      <c r="L15" s="604">
        <v>171.8</v>
      </c>
      <c r="M15" s="601">
        <f t="shared" si="0"/>
        <v>840.2</v>
      </c>
    </row>
    <row r="16" spans="3:13" ht="16.5" x14ac:dyDescent="0.25">
      <c r="C16" s="617" t="s">
        <v>292</v>
      </c>
      <c r="D16" s="602">
        <v>8.5</v>
      </c>
      <c r="E16" s="603" t="s">
        <v>82</v>
      </c>
      <c r="F16" s="603">
        <v>6.7</v>
      </c>
      <c r="G16" s="603">
        <v>13.6</v>
      </c>
      <c r="H16" s="603" t="s">
        <v>82</v>
      </c>
      <c r="I16" s="603">
        <v>47.6</v>
      </c>
      <c r="J16" s="603" t="s">
        <v>82</v>
      </c>
      <c r="K16" s="603">
        <v>9.8000000000000007</v>
      </c>
      <c r="L16" s="604" t="s">
        <v>82</v>
      </c>
      <c r="M16" s="601">
        <f t="shared" si="0"/>
        <v>86.2</v>
      </c>
    </row>
    <row r="17" spans="2:13" ht="16.5" x14ac:dyDescent="0.25">
      <c r="C17" s="617" t="s">
        <v>293</v>
      </c>
      <c r="D17" s="602" t="s">
        <v>82</v>
      </c>
      <c r="E17" s="603" t="s">
        <v>82</v>
      </c>
      <c r="F17" s="603" t="s">
        <v>82</v>
      </c>
      <c r="G17" s="603">
        <v>7.3</v>
      </c>
      <c r="H17" s="603" t="s">
        <v>82</v>
      </c>
      <c r="I17" s="603">
        <v>2.7</v>
      </c>
      <c r="J17" s="603" t="s">
        <v>82</v>
      </c>
      <c r="K17" s="603">
        <v>1.3</v>
      </c>
      <c r="L17" s="604" t="s">
        <v>82</v>
      </c>
      <c r="M17" s="601">
        <f t="shared" si="0"/>
        <v>11.3</v>
      </c>
    </row>
    <row r="18" spans="2:13" ht="16.5" x14ac:dyDescent="0.25">
      <c r="C18" s="617" t="s">
        <v>294</v>
      </c>
      <c r="D18" s="602" t="s">
        <v>82</v>
      </c>
      <c r="E18" s="603" t="s">
        <v>82</v>
      </c>
      <c r="F18" s="603">
        <v>25.5</v>
      </c>
      <c r="G18" s="603">
        <v>11.2</v>
      </c>
      <c r="H18" s="603" t="s">
        <v>82</v>
      </c>
      <c r="I18" s="603">
        <v>63.5</v>
      </c>
      <c r="J18" s="603" t="s">
        <v>82</v>
      </c>
      <c r="K18" s="603">
        <v>37.5</v>
      </c>
      <c r="L18" s="604" t="s">
        <v>82</v>
      </c>
      <c r="M18" s="601">
        <f t="shared" si="0"/>
        <v>137.69999999999999</v>
      </c>
    </row>
    <row r="19" spans="2:13" ht="16.5" customHeight="1" x14ac:dyDescent="0.25">
      <c r="B19" s="589"/>
      <c r="C19" s="617" t="s">
        <v>295</v>
      </c>
      <c r="D19" s="602" t="s">
        <v>82</v>
      </c>
      <c r="E19" s="603" t="s">
        <v>82</v>
      </c>
      <c r="F19" s="603">
        <v>6.2</v>
      </c>
      <c r="G19" s="603" t="s">
        <v>82</v>
      </c>
      <c r="H19" s="603" t="s">
        <v>82</v>
      </c>
      <c r="I19" s="603" t="s">
        <v>82</v>
      </c>
      <c r="J19" s="603" t="s">
        <v>82</v>
      </c>
      <c r="K19" s="603" t="s">
        <v>82</v>
      </c>
      <c r="L19" s="604">
        <v>6.6</v>
      </c>
      <c r="M19" s="601">
        <f t="shared" ref="M19" si="1">SUM(D19:L19)</f>
        <v>12.8</v>
      </c>
    </row>
    <row r="20" spans="2:13" ht="16.5" customHeight="1" x14ac:dyDescent="0.25">
      <c r="B20" s="589"/>
      <c r="C20" s="617" t="s">
        <v>296</v>
      </c>
      <c r="D20" s="602" t="s">
        <v>82</v>
      </c>
      <c r="E20" s="603" t="s">
        <v>82</v>
      </c>
      <c r="F20" s="603" t="s">
        <v>82</v>
      </c>
      <c r="G20" s="603" t="s">
        <v>82</v>
      </c>
      <c r="H20" s="603" t="s">
        <v>82</v>
      </c>
      <c r="I20" s="603" t="s">
        <v>82</v>
      </c>
      <c r="J20" s="603" t="s">
        <v>82</v>
      </c>
      <c r="K20" s="603" t="s">
        <v>82</v>
      </c>
      <c r="L20" s="604" t="s">
        <v>82</v>
      </c>
      <c r="M20" s="601">
        <f t="shared" si="0"/>
        <v>0</v>
      </c>
    </row>
    <row r="21" spans="2:13" ht="16.5" x14ac:dyDescent="0.25">
      <c r="B21" s="589"/>
      <c r="C21" s="617" t="s">
        <v>297</v>
      </c>
      <c r="D21" s="602" t="s">
        <v>82</v>
      </c>
      <c r="E21" s="603" t="s">
        <v>82</v>
      </c>
      <c r="F21" s="603" t="s">
        <v>82</v>
      </c>
      <c r="G21" s="603">
        <v>11.8</v>
      </c>
      <c r="H21" s="603" t="s">
        <v>82</v>
      </c>
      <c r="I21" s="603" t="s">
        <v>82</v>
      </c>
      <c r="J21" s="603" t="s">
        <v>82</v>
      </c>
      <c r="K21" s="603" t="s">
        <v>82</v>
      </c>
      <c r="L21" s="604" t="s">
        <v>82</v>
      </c>
      <c r="M21" s="601">
        <f t="shared" si="0"/>
        <v>11.8</v>
      </c>
    </row>
    <row r="22" spans="2:13" ht="16.5" customHeight="1" x14ac:dyDescent="0.25">
      <c r="B22" s="589"/>
      <c r="C22" s="617" t="s">
        <v>298</v>
      </c>
      <c r="D22" s="602" t="s">
        <v>82</v>
      </c>
      <c r="E22" s="603" t="s">
        <v>82</v>
      </c>
      <c r="F22" s="603" t="s">
        <v>82</v>
      </c>
      <c r="G22" s="603" t="s">
        <v>82</v>
      </c>
      <c r="H22" s="603" t="s">
        <v>82</v>
      </c>
      <c r="I22" s="603">
        <v>11.9</v>
      </c>
      <c r="J22" s="603" t="s">
        <v>82</v>
      </c>
      <c r="K22" s="603" t="s">
        <v>82</v>
      </c>
      <c r="L22" s="604" t="s">
        <v>82</v>
      </c>
      <c r="M22" s="601">
        <f t="shared" si="0"/>
        <v>11.9</v>
      </c>
    </row>
    <row r="23" spans="2:13" ht="16.5" x14ac:dyDescent="0.25">
      <c r="B23" s="589"/>
      <c r="C23" s="617" t="s">
        <v>299</v>
      </c>
      <c r="D23" s="602" t="s">
        <v>82</v>
      </c>
      <c r="E23" s="603" t="s">
        <v>82</v>
      </c>
      <c r="F23" s="603" t="s">
        <v>82</v>
      </c>
      <c r="G23" s="603" t="s">
        <v>82</v>
      </c>
      <c r="H23" s="603" t="s">
        <v>82</v>
      </c>
      <c r="I23" s="603">
        <v>27.2</v>
      </c>
      <c r="J23" s="603" t="s">
        <v>82</v>
      </c>
      <c r="K23" s="603" t="s">
        <v>82</v>
      </c>
      <c r="L23" s="604">
        <v>43.2</v>
      </c>
      <c r="M23" s="601">
        <f t="shared" si="0"/>
        <v>70.400000000000006</v>
      </c>
    </row>
    <row r="24" spans="2:13" ht="16.5" x14ac:dyDescent="0.25">
      <c r="B24" s="589"/>
      <c r="C24" s="617" t="s">
        <v>300</v>
      </c>
      <c r="D24" s="602" t="s">
        <v>82</v>
      </c>
      <c r="E24" s="603" t="s">
        <v>82</v>
      </c>
      <c r="F24" s="603" t="s">
        <v>82</v>
      </c>
      <c r="G24" s="603" t="s">
        <v>82</v>
      </c>
      <c r="H24" s="603" t="s">
        <v>82</v>
      </c>
      <c r="I24" s="603">
        <v>14.4</v>
      </c>
      <c r="J24" s="603" t="s">
        <v>82</v>
      </c>
      <c r="K24" s="603" t="s">
        <v>82</v>
      </c>
      <c r="L24" s="604" t="s">
        <v>82</v>
      </c>
      <c r="M24" s="601">
        <f t="shared" si="0"/>
        <v>14.4</v>
      </c>
    </row>
    <row r="25" spans="2:13" ht="16.5" x14ac:dyDescent="0.25">
      <c r="B25" s="589"/>
      <c r="C25" s="624" t="s">
        <v>301</v>
      </c>
      <c r="D25" s="605" t="s">
        <v>82</v>
      </c>
      <c r="E25" s="606">
        <v>7.3</v>
      </c>
      <c r="F25" s="606" t="s">
        <v>82</v>
      </c>
      <c r="G25" s="606" t="s">
        <v>82</v>
      </c>
      <c r="H25" s="606" t="s">
        <v>82</v>
      </c>
      <c r="I25" s="606">
        <v>17.600000000000001</v>
      </c>
      <c r="J25" s="606" t="s">
        <v>82</v>
      </c>
      <c r="K25" s="606" t="s">
        <v>82</v>
      </c>
      <c r="L25" s="607" t="s">
        <v>82</v>
      </c>
      <c r="M25" s="609">
        <f t="shared" si="0"/>
        <v>24.900000000000002</v>
      </c>
    </row>
    <row r="26" spans="2:13" ht="15.75" thickBot="1" x14ac:dyDescent="0.3">
      <c r="B26" s="589"/>
      <c r="C26" s="960"/>
      <c r="D26" s="961"/>
      <c r="E26" s="961"/>
      <c r="F26" s="961"/>
      <c r="G26" s="961"/>
      <c r="H26" s="961"/>
      <c r="I26" s="961"/>
      <c r="J26" s="961"/>
      <c r="K26" s="961"/>
      <c r="L26" s="962"/>
      <c r="M26" s="608">
        <f>SUM(M8:M25)</f>
        <v>1838.4000000000003</v>
      </c>
    </row>
  </sheetData>
  <mergeCells count="4">
    <mergeCell ref="C26:L26"/>
    <mergeCell ref="D3:M4"/>
    <mergeCell ref="D5:M5"/>
    <mergeCell ref="C3:C6"/>
  </mergeCells>
  <pageMargins left="0.7" right="0.7" top="0.75" bottom="0.75" header="0.3" footer="0.3"/>
  <pageSetup paperSize="66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51353-AE61-4C98-945E-9430B7F796C0}">
  <sheetPr>
    <pageSetUpPr fitToPage="1"/>
  </sheetPr>
  <dimension ref="C1:M27"/>
  <sheetViews>
    <sheetView tabSelected="1" zoomScale="85" zoomScaleNormal="85" workbookViewId="0">
      <selection activeCell="H9" sqref="H9"/>
    </sheetView>
  </sheetViews>
  <sheetFormatPr defaultRowHeight="15" x14ac:dyDescent="0.25"/>
  <cols>
    <col min="1" max="2" width="9.140625" customWidth="1"/>
    <col min="3" max="3" width="25.7109375" customWidth="1"/>
    <col min="4" max="8" width="14.7109375" customWidth="1"/>
    <col min="9" max="9" width="38.28515625" customWidth="1"/>
    <col min="10" max="10" width="30.7109375" customWidth="1"/>
    <col min="11" max="14" width="14.7109375" customWidth="1"/>
    <col min="15" max="15" width="20.7109375" customWidth="1"/>
    <col min="16" max="19" width="15.7109375" customWidth="1"/>
    <col min="20" max="22" width="14.7109375" customWidth="1"/>
  </cols>
  <sheetData>
    <row r="1" spans="3:13" ht="15" customHeight="1" x14ac:dyDescent="0.25"/>
    <row r="2" spans="3:13" ht="15" customHeight="1" thickBot="1" x14ac:dyDescent="0.3"/>
    <row r="3" spans="3:13" ht="15.75" customHeight="1" x14ac:dyDescent="0.25">
      <c r="C3" s="889"/>
      <c r="D3" s="963" t="s">
        <v>99</v>
      </c>
      <c r="E3" s="964"/>
      <c r="F3" s="964"/>
      <c r="G3" s="964"/>
      <c r="H3" s="964"/>
      <c r="I3" s="964"/>
      <c r="J3" s="964"/>
      <c r="K3" s="964"/>
      <c r="L3" s="964"/>
      <c r="M3" s="965"/>
    </row>
    <row r="4" spans="3:13" ht="21" customHeight="1" x14ac:dyDescent="0.25">
      <c r="C4" s="890"/>
      <c r="D4" s="966"/>
      <c r="E4" s="967"/>
      <c r="F4" s="967"/>
      <c r="G4" s="967"/>
      <c r="H4" s="967"/>
      <c r="I4" s="967"/>
      <c r="J4" s="967"/>
      <c r="K4" s="967"/>
      <c r="L4" s="967"/>
      <c r="M4" s="968"/>
    </row>
    <row r="5" spans="3:13" ht="15.75" customHeight="1" x14ac:dyDescent="0.25">
      <c r="C5" s="890"/>
      <c r="D5" s="969" t="s">
        <v>44</v>
      </c>
      <c r="E5" s="970"/>
      <c r="F5" s="970"/>
      <c r="G5" s="970"/>
      <c r="H5" s="970"/>
      <c r="I5" s="970"/>
      <c r="J5" s="970"/>
      <c r="K5" s="970"/>
      <c r="L5" s="970"/>
      <c r="M5" s="971"/>
    </row>
    <row r="6" spans="3:13" ht="15.75" customHeight="1" thickBot="1" x14ac:dyDescent="0.3">
      <c r="C6" s="891"/>
      <c r="D6" s="590" t="s">
        <v>20</v>
      </c>
      <c r="E6" s="613" t="s">
        <v>45</v>
      </c>
      <c r="F6" s="590" t="s">
        <v>21</v>
      </c>
      <c r="G6" s="613" t="s">
        <v>22</v>
      </c>
      <c r="H6" s="613" t="s">
        <v>283</v>
      </c>
      <c r="I6" s="613" t="s">
        <v>321</v>
      </c>
      <c r="J6" s="613" t="s">
        <v>322</v>
      </c>
      <c r="K6" s="613" t="s">
        <v>282</v>
      </c>
      <c r="L6" s="592" t="s">
        <v>27</v>
      </c>
      <c r="M6" s="591" t="s">
        <v>302</v>
      </c>
    </row>
    <row r="7" spans="3:13" ht="17.25" thickTop="1" x14ac:dyDescent="0.35">
      <c r="C7" s="593" t="s">
        <v>325</v>
      </c>
      <c r="D7" s="594"/>
      <c r="E7" s="595"/>
      <c r="F7" s="595"/>
      <c r="G7" s="595"/>
      <c r="H7" s="595"/>
      <c r="I7" s="595"/>
      <c r="J7" s="595"/>
      <c r="K7" s="595"/>
      <c r="L7" s="596"/>
      <c r="M7" s="597"/>
    </row>
    <row r="8" spans="3:13" ht="16.5" x14ac:dyDescent="0.25">
      <c r="C8" s="616" t="s">
        <v>304</v>
      </c>
      <c r="D8" s="598">
        <v>1</v>
      </c>
      <c r="E8" s="599" t="s">
        <v>82</v>
      </c>
      <c r="F8" s="599" t="s">
        <v>82</v>
      </c>
      <c r="G8" s="599" t="s">
        <v>82</v>
      </c>
      <c r="H8" s="599" t="s">
        <v>82</v>
      </c>
      <c r="I8" s="599">
        <v>1</v>
      </c>
      <c r="J8" s="599" t="s">
        <v>82</v>
      </c>
      <c r="K8" s="599" t="s">
        <v>82</v>
      </c>
      <c r="L8" s="600" t="s">
        <v>82</v>
      </c>
      <c r="M8" s="601">
        <f>SUM(D8:L8)</f>
        <v>2</v>
      </c>
    </row>
    <row r="9" spans="3:13" ht="16.5" x14ac:dyDescent="0.25">
      <c r="C9" s="617" t="s">
        <v>305</v>
      </c>
      <c r="D9" s="602" t="s">
        <v>82</v>
      </c>
      <c r="E9" s="603">
        <v>1</v>
      </c>
      <c r="F9" s="603" t="s">
        <v>82</v>
      </c>
      <c r="G9" s="603">
        <v>2</v>
      </c>
      <c r="H9" s="603">
        <v>3</v>
      </c>
      <c r="I9" s="603">
        <v>3</v>
      </c>
      <c r="J9" s="603" t="s">
        <v>82</v>
      </c>
      <c r="K9" s="603" t="s">
        <v>82</v>
      </c>
      <c r="L9" s="610">
        <v>3</v>
      </c>
      <c r="M9" s="611">
        <f t="shared" ref="M9:M26" si="0">SUM(D9:L9)</f>
        <v>12</v>
      </c>
    </row>
    <row r="10" spans="3:13" ht="16.5" x14ac:dyDescent="0.25">
      <c r="C10" s="617" t="s">
        <v>306</v>
      </c>
      <c r="D10" s="602">
        <v>1</v>
      </c>
      <c r="E10" s="603" t="s">
        <v>82</v>
      </c>
      <c r="F10" s="603" t="s">
        <v>82</v>
      </c>
      <c r="G10" s="603" t="s">
        <v>82</v>
      </c>
      <c r="H10" s="603" t="s">
        <v>82</v>
      </c>
      <c r="I10" s="603" t="s">
        <v>82</v>
      </c>
      <c r="J10" s="603" t="s">
        <v>82</v>
      </c>
      <c r="K10" s="603" t="s">
        <v>82</v>
      </c>
      <c r="L10" s="604" t="s">
        <v>82</v>
      </c>
      <c r="M10" s="601">
        <f t="shared" si="0"/>
        <v>1</v>
      </c>
    </row>
    <row r="11" spans="3:13" ht="16.5" x14ac:dyDescent="0.25">
      <c r="C11" s="617" t="s">
        <v>307</v>
      </c>
      <c r="D11" s="602" t="s">
        <v>82</v>
      </c>
      <c r="E11" s="603" t="s">
        <v>82</v>
      </c>
      <c r="F11" s="603">
        <v>1</v>
      </c>
      <c r="G11" s="603" t="s">
        <v>82</v>
      </c>
      <c r="H11" s="603" t="s">
        <v>82</v>
      </c>
      <c r="I11" s="603" t="s">
        <v>82</v>
      </c>
      <c r="J11" s="603">
        <v>2</v>
      </c>
      <c r="K11" s="603" t="s">
        <v>82</v>
      </c>
      <c r="L11" s="604" t="s">
        <v>82</v>
      </c>
      <c r="M11" s="601">
        <f t="shared" si="0"/>
        <v>3</v>
      </c>
    </row>
    <row r="12" spans="3:13" ht="16.5" x14ac:dyDescent="0.25">
      <c r="C12" s="617" t="s">
        <v>308</v>
      </c>
      <c r="D12" s="602" t="s">
        <v>82</v>
      </c>
      <c r="E12" s="603" t="s">
        <v>82</v>
      </c>
      <c r="F12" s="603" t="s">
        <v>82</v>
      </c>
      <c r="G12" s="603" t="s">
        <v>82</v>
      </c>
      <c r="H12" s="603" t="s">
        <v>82</v>
      </c>
      <c r="I12" s="603">
        <v>2</v>
      </c>
      <c r="J12" s="603" t="s">
        <v>82</v>
      </c>
      <c r="K12" s="603" t="s">
        <v>82</v>
      </c>
      <c r="L12" s="604" t="s">
        <v>82</v>
      </c>
      <c r="M12" s="601">
        <f t="shared" si="0"/>
        <v>2</v>
      </c>
    </row>
    <row r="13" spans="3:13" ht="16.5" x14ac:dyDescent="0.25">
      <c r="C13" s="617" t="s">
        <v>309</v>
      </c>
      <c r="D13" s="602" t="s">
        <v>82</v>
      </c>
      <c r="E13" s="603" t="s">
        <v>82</v>
      </c>
      <c r="F13" s="603" t="s">
        <v>82</v>
      </c>
      <c r="G13" s="603" t="s">
        <v>82</v>
      </c>
      <c r="H13" s="603">
        <v>2</v>
      </c>
      <c r="I13" s="603">
        <v>3</v>
      </c>
      <c r="J13" s="603" t="s">
        <v>82</v>
      </c>
      <c r="K13" s="603" t="s">
        <v>82</v>
      </c>
      <c r="L13" s="604" t="s">
        <v>82</v>
      </c>
      <c r="M13" s="601">
        <f t="shared" si="0"/>
        <v>5</v>
      </c>
    </row>
    <row r="14" spans="3:13" ht="16.5" x14ac:dyDescent="0.25">
      <c r="C14" s="617" t="s">
        <v>310</v>
      </c>
      <c r="D14" s="602" t="s">
        <v>82</v>
      </c>
      <c r="E14" s="603" t="s">
        <v>82</v>
      </c>
      <c r="F14" s="603" t="s">
        <v>82</v>
      </c>
      <c r="G14" s="603" t="s">
        <v>82</v>
      </c>
      <c r="H14" s="603">
        <v>1</v>
      </c>
      <c r="I14" s="603" t="s">
        <v>82</v>
      </c>
      <c r="J14" s="603" t="s">
        <v>82</v>
      </c>
      <c r="K14" s="603" t="s">
        <v>82</v>
      </c>
      <c r="L14" s="604" t="s">
        <v>82</v>
      </c>
      <c r="M14" s="601">
        <f t="shared" si="0"/>
        <v>1</v>
      </c>
    </row>
    <row r="15" spans="3:13" ht="16.5" x14ac:dyDescent="0.25">
      <c r="C15" s="617" t="s">
        <v>311</v>
      </c>
      <c r="D15" s="602" t="s">
        <v>82</v>
      </c>
      <c r="E15" s="603" t="s">
        <v>82</v>
      </c>
      <c r="F15" s="603" t="s">
        <v>82</v>
      </c>
      <c r="G15" s="603" t="s">
        <v>82</v>
      </c>
      <c r="H15" s="603" t="s">
        <v>82</v>
      </c>
      <c r="I15" s="603">
        <v>2</v>
      </c>
      <c r="J15" s="603" t="s">
        <v>82</v>
      </c>
      <c r="K15" s="603" t="s">
        <v>82</v>
      </c>
      <c r="L15" s="604" t="s">
        <v>82</v>
      </c>
      <c r="M15" s="601">
        <f t="shared" si="0"/>
        <v>2</v>
      </c>
    </row>
    <row r="16" spans="3:13" ht="16.5" x14ac:dyDescent="0.25">
      <c r="C16" s="617" t="s">
        <v>312</v>
      </c>
      <c r="D16" s="602" t="s">
        <v>82</v>
      </c>
      <c r="E16" s="603" t="s">
        <v>82</v>
      </c>
      <c r="F16" s="603" t="s">
        <v>82</v>
      </c>
      <c r="G16" s="603">
        <v>1</v>
      </c>
      <c r="H16" s="603" t="s">
        <v>82</v>
      </c>
      <c r="I16" s="603">
        <v>1</v>
      </c>
      <c r="J16" s="603">
        <v>1</v>
      </c>
      <c r="K16" s="603" t="s">
        <v>82</v>
      </c>
      <c r="L16" s="604">
        <v>2</v>
      </c>
      <c r="M16" s="601">
        <f t="shared" si="0"/>
        <v>5</v>
      </c>
    </row>
    <row r="17" spans="3:13" ht="16.5" x14ac:dyDescent="0.25">
      <c r="C17" s="617" t="s">
        <v>313</v>
      </c>
      <c r="D17" s="602" t="s">
        <v>82</v>
      </c>
      <c r="E17" s="603" t="s">
        <v>82</v>
      </c>
      <c r="F17" s="603" t="s">
        <v>82</v>
      </c>
      <c r="G17" s="603" t="s">
        <v>82</v>
      </c>
      <c r="H17" s="603" t="s">
        <v>82</v>
      </c>
      <c r="I17" s="603" t="s">
        <v>82</v>
      </c>
      <c r="J17" s="603">
        <v>1</v>
      </c>
      <c r="K17" s="603">
        <v>1</v>
      </c>
      <c r="L17" s="604" t="s">
        <v>82</v>
      </c>
      <c r="M17" s="601">
        <f t="shared" si="0"/>
        <v>2</v>
      </c>
    </row>
    <row r="18" spans="3:13" ht="16.5" x14ac:dyDescent="0.25">
      <c r="C18" s="617" t="s">
        <v>314</v>
      </c>
      <c r="D18" s="602" t="s">
        <v>82</v>
      </c>
      <c r="E18" s="603" t="s">
        <v>82</v>
      </c>
      <c r="F18" s="603" t="s">
        <v>82</v>
      </c>
      <c r="G18" s="603" t="s">
        <v>82</v>
      </c>
      <c r="H18" s="603" t="s">
        <v>82</v>
      </c>
      <c r="I18" s="603" t="s">
        <v>82</v>
      </c>
      <c r="J18" s="603">
        <v>1</v>
      </c>
      <c r="K18" s="603" t="s">
        <v>82</v>
      </c>
      <c r="L18" s="604" t="s">
        <v>82</v>
      </c>
      <c r="M18" s="601">
        <f t="shared" si="0"/>
        <v>1</v>
      </c>
    </row>
    <row r="19" spans="3:13" ht="16.5" x14ac:dyDescent="0.25">
      <c r="C19" s="617" t="s">
        <v>320</v>
      </c>
      <c r="D19" s="602" t="s">
        <v>82</v>
      </c>
      <c r="E19" s="603" t="s">
        <v>82</v>
      </c>
      <c r="F19" s="603" t="s">
        <v>82</v>
      </c>
      <c r="G19" s="603" t="s">
        <v>82</v>
      </c>
      <c r="H19" s="603" t="s">
        <v>82</v>
      </c>
      <c r="I19" s="603">
        <v>10</v>
      </c>
      <c r="J19" s="603" t="s">
        <v>82</v>
      </c>
      <c r="K19" s="603">
        <v>2</v>
      </c>
      <c r="L19" s="604" t="s">
        <v>82</v>
      </c>
      <c r="M19" s="601">
        <f t="shared" si="0"/>
        <v>12</v>
      </c>
    </row>
    <row r="20" spans="3:13" ht="16.5" x14ac:dyDescent="0.25">
      <c r="C20" s="617" t="s">
        <v>315</v>
      </c>
      <c r="D20" s="602">
        <v>2</v>
      </c>
      <c r="E20" s="603" t="s">
        <v>82</v>
      </c>
      <c r="F20" s="603" t="s">
        <v>82</v>
      </c>
      <c r="G20" s="603">
        <v>1</v>
      </c>
      <c r="H20" s="603">
        <v>1</v>
      </c>
      <c r="I20" s="603">
        <v>1</v>
      </c>
      <c r="J20" s="603" t="s">
        <v>82</v>
      </c>
      <c r="K20" s="603" t="s">
        <v>82</v>
      </c>
      <c r="L20" s="604" t="s">
        <v>82</v>
      </c>
      <c r="M20" s="601">
        <f t="shared" si="0"/>
        <v>5</v>
      </c>
    </row>
    <row r="21" spans="3:13" ht="16.5" x14ac:dyDescent="0.25">
      <c r="C21" s="617" t="s">
        <v>316</v>
      </c>
      <c r="D21" s="602">
        <v>3</v>
      </c>
      <c r="E21" s="603" t="s">
        <v>82</v>
      </c>
      <c r="F21" s="603">
        <v>3</v>
      </c>
      <c r="G21" s="603" t="s">
        <v>82</v>
      </c>
      <c r="H21" s="603" t="s">
        <v>82</v>
      </c>
      <c r="I21" s="603">
        <v>6</v>
      </c>
      <c r="J21" s="603">
        <v>2</v>
      </c>
      <c r="K21" s="603" t="s">
        <v>82</v>
      </c>
      <c r="L21" s="604">
        <v>1</v>
      </c>
      <c r="M21" s="601">
        <f t="shared" si="0"/>
        <v>15</v>
      </c>
    </row>
    <row r="22" spans="3:13" ht="16.5" x14ac:dyDescent="0.25">
      <c r="C22" s="617" t="s">
        <v>317</v>
      </c>
      <c r="D22" s="602">
        <v>16</v>
      </c>
      <c r="E22" s="603">
        <v>9</v>
      </c>
      <c r="F22" s="603">
        <v>6</v>
      </c>
      <c r="G22" s="603">
        <v>15</v>
      </c>
      <c r="H22" s="603">
        <v>20</v>
      </c>
      <c r="I22" s="603">
        <v>52</v>
      </c>
      <c r="J22" s="603">
        <v>31</v>
      </c>
      <c r="K22" s="603">
        <v>25</v>
      </c>
      <c r="L22" s="604">
        <v>23</v>
      </c>
      <c r="M22" s="601">
        <f t="shared" si="0"/>
        <v>197</v>
      </c>
    </row>
    <row r="23" spans="3:13" ht="16.5" x14ac:dyDescent="0.25">
      <c r="C23" s="617" t="s">
        <v>318</v>
      </c>
      <c r="D23" s="602">
        <v>3</v>
      </c>
      <c r="E23" s="603" t="s">
        <v>82</v>
      </c>
      <c r="F23" s="603">
        <v>4</v>
      </c>
      <c r="G23" s="603">
        <v>7</v>
      </c>
      <c r="H23" s="603">
        <v>1</v>
      </c>
      <c r="I23" s="603">
        <v>6</v>
      </c>
      <c r="J23" s="603">
        <v>2</v>
      </c>
      <c r="K23" s="603" t="s">
        <v>82</v>
      </c>
      <c r="L23" s="604" t="s">
        <v>82</v>
      </c>
      <c r="M23" s="601">
        <f t="shared" si="0"/>
        <v>23</v>
      </c>
    </row>
    <row r="24" spans="3:13" ht="15" customHeight="1" x14ac:dyDescent="0.25">
      <c r="C24" s="617" t="s">
        <v>319</v>
      </c>
      <c r="D24" s="602" t="s">
        <v>82</v>
      </c>
      <c r="E24" s="603" t="s">
        <v>82</v>
      </c>
      <c r="F24" s="603">
        <v>1</v>
      </c>
      <c r="G24" s="603" t="s">
        <v>82</v>
      </c>
      <c r="H24" s="603">
        <v>1</v>
      </c>
      <c r="I24" s="603" t="s">
        <v>82</v>
      </c>
      <c r="J24" s="603" t="s">
        <v>82</v>
      </c>
      <c r="K24" s="603" t="s">
        <v>82</v>
      </c>
      <c r="L24" s="604" t="s">
        <v>82</v>
      </c>
      <c r="M24" s="601">
        <f t="shared" si="0"/>
        <v>2</v>
      </c>
    </row>
    <row r="25" spans="3:13" ht="15" customHeight="1" x14ac:dyDescent="0.25">
      <c r="C25" s="617" t="s">
        <v>323</v>
      </c>
      <c r="D25" s="602">
        <v>4</v>
      </c>
      <c r="E25" s="603">
        <v>4</v>
      </c>
      <c r="F25" s="603">
        <v>3</v>
      </c>
      <c r="G25" s="603">
        <v>5</v>
      </c>
      <c r="H25" s="603">
        <v>4</v>
      </c>
      <c r="I25" s="603">
        <v>6</v>
      </c>
      <c r="J25" s="603" t="s">
        <v>82</v>
      </c>
      <c r="K25" s="603">
        <v>2</v>
      </c>
      <c r="L25" s="604">
        <v>2</v>
      </c>
      <c r="M25" s="611">
        <f t="shared" si="0"/>
        <v>30</v>
      </c>
    </row>
    <row r="26" spans="3:13" ht="17.25" thickBot="1" x14ac:dyDescent="0.4">
      <c r="C26" s="618" t="s">
        <v>324</v>
      </c>
      <c r="D26" s="620" t="s">
        <v>82</v>
      </c>
      <c r="E26" s="621" t="s">
        <v>82</v>
      </c>
      <c r="F26" s="622" t="s">
        <v>82</v>
      </c>
      <c r="G26" s="238" t="s">
        <v>82</v>
      </c>
      <c r="H26" s="621" t="s">
        <v>82</v>
      </c>
      <c r="I26" s="621">
        <v>1</v>
      </c>
      <c r="J26" s="622">
        <v>1</v>
      </c>
      <c r="K26" s="238" t="s">
        <v>82</v>
      </c>
      <c r="L26" s="623">
        <v>1</v>
      </c>
      <c r="M26" s="619">
        <f t="shared" si="0"/>
        <v>3</v>
      </c>
    </row>
    <row r="27" spans="3:13" ht="15.75" customHeight="1" x14ac:dyDescent="0.25"/>
  </sheetData>
  <mergeCells count="3">
    <mergeCell ref="D3:M4"/>
    <mergeCell ref="D5:M5"/>
    <mergeCell ref="C3:C6"/>
  </mergeCells>
  <pageMargins left="0.7" right="0.7" top="0.75" bottom="0.75" header="0.3" footer="0.3"/>
  <pageSetup paperSize="66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66F9A-131B-477E-918F-51C4DEFB66AA}">
  <sheetPr>
    <pageSetUpPr fitToPage="1"/>
  </sheetPr>
  <dimension ref="A1:T22"/>
  <sheetViews>
    <sheetView workbookViewId="0">
      <selection activeCell="I25" sqref="I25"/>
    </sheetView>
  </sheetViews>
  <sheetFormatPr defaultRowHeight="15" x14ac:dyDescent="0.25"/>
  <cols>
    <col min="6" max="6" width="12.140625" customWidth="1"/>
    <col min="7" max="7" width="10.28515625" customWidth="1"/>
  </cols>
  <sheetData>
    <row r="1" spans="1:20" x14ac:dyDescent="0.25">
      <c r="A1" s="889"/>
      <c r="B1" s="882" t="s">
        <v>38</v>
      </c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3"/>
    </row>
    <row r="2" spans="1:20" ht="15.75" thickBot="1" x14ac:dyDescent="0.3">
      <c r="A2" s="890"/>
      <c r="B2" s="883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5"/>
    </row>
    <row r="3" spans="1:20" x14ac:dyDescent="0.25">
      <c r="A3" s="890"/>
      <c r="B3" s="892" t="s">
        <v>0</v>
      </c>
      <c r="C3" s="712" t="s">
        <v>4</v>
      </c>
      <c r="D3" s="986" t="s">
        <v>19</v>
      </c>
      <c r="E3" s="720" t="s">
        <v>16</v>
      </c>
      <c r="F3" s="720" t="s">
        <v>3</v>
      </c>
      <c r="G3" s="720" t="s">
        <v>17</v>
      </c>
      <c r="H3" s="722" t="s">
        <v>18</v>
      </c>
      <c r="I3" s="984" t="s">
        <v>1</v>
      </c>
      <c r="J3" s="884" t="s">
        <v>2</v>
      </c>
      <c r="K3" s="714"/>
      <c r="L3" s="714"/>
      <c r="M3" s="714"/>
      <c r="N3" s="715"/>
    </row>
    <row r="4" spans="1:20" ht="15.75" thickBot="1" x14ac:dyDescent="0.3">
      <c r="A4" s="891"/>
      <c r="B4" s="893"/>
      <c r="C4" s="713"/>
      <c r="D4" s="987"/>
      <c r="E4" s="721"/>
      <c r="F4" s="721"/>
      <c r="G4" s="721"/>
      <c r="H4" s="723"/>
      <c r="I4" s="985"/>
      <c r="J4" s="885"/>
      <c r="K4" s="716"/>
      <c r="L4" s="716"/>
      <c r="M4" s="716"/>
      <c r="N4" s="717"/>
    </row>
    <row r="5" spans="1:20" ht="15.75" thickTop="1" x14ac:dyDescent="0.25">
      <c r="A5" s="76" t="s">
        <v>27</v>
      </c>
      <c r="B5" s="75"/>
      <c r="C5" s="84"/>
      <c r="D5" s="86"/>
      <c r="E5" s="85"/>
      <c r="F5" s="83"/>
      <c r="G5" s="83"/>
      <c r="H5" s="82"/>
      <c r="I5" s="77"/>
      <c r="J5" s="78">
        <v>1</v>
      </c>
      <c r="K5" s="79">
        <v>2</v>
      </c>
      <c r="L5" s="79">
        <v>3</v>
      </c>
      <c r="M5" s="81">
        <v>4</v>
      </c>
      <c r="N5" s="80">
        <v>5</v>
      </c>
      <c r="P5" s="978" t="s">
        <v>56</v>
      </c>
      <c r="Q5" s="979"/>
      <c r="R5" s="979"/>
      <c r="S5" s="979"/>
      <c r="T5" s="980"/>
    </row>
    <row r="6" spans="1:20" x14ac:dyDescent="0.25">
      <c r="A6" s="88">
        <v>1</v>
      </c>
      <c r="B6" s="89">
        <f>'Plot By Plot SoA'!C296</f>
        <v>265</v>
      </c>
      <c r="C6" s="90">
        <f>'Plot By Plot SoA'!D296</f>
        <v>43.4</v>
      </c>
      <c r="D6" s="91">
        <f>'Plot By Plot SoA'!E296</f>
        <v>467.15325999999999</v>
      </c>
      <c r="E6" s="92"/>
      <c r="F6" s="92"/>
      <c r="G6" s="92"/>
      <c r="H6" s="93" t="str">
        <f>'Plot By Plot SoA'!J296</f>
        <v>Y</v>
      </c>
      <c r="I6" s="94"/>
      <c r="J6" s="95" t="str">
        <f>'Plot By Plot SoA'!L296</f>
        <v>Y</v>
      </c>
      <c r="K6" s="96"/>
      <c r="L6" s="96"/>
      <c r="M6" s="97"/>
      <c r="N6" s="94"/>
      <c r="P6" s="189"/>
      <c r="Q6" s="184" t="s">
        <v>57</v>
      </c>
      <c r="R6" s="184" t="s">
        <v>58</v>
      </c>
      <c r="S6" s="185" t="s">
        <v>59</v>
      </c>
      <c r="T6" s="188" t="s">
        <v>55</v>
      </c>
    </row>
    <row r="7" spans="1:20" x14ac:dyDescent="0.25">
      <c r="A7" s="88">
        <v>2</v>
      </c>
      <c r="B7" s="98">
        <f>'Plot By Plot SoA'!C297</f>
        <v>266</v>
      </c>
      <c r="C7" s="90">
        <f>'Plot By Plot SoA'!D297</f>
        <v>43.4</v>
      </c>
      <c r="D7" s="91">
        <f>'Plot By Plot SoA'!E297</f>
        <v>467.15325999999999</v>
      </c>
      <c r="E7" s="92"/>
      <c r="F7" s="92"/>
      <c r="G7" s="92"/>
      <c r="H7" s="93" t="str">
        <f>'Plot By Plot SoA'!J297</f>
        <v>Y</v>
      </c>
      <c r="I7" s="94"/>
      <c r="J7" s="99" t="str">
        <f>'Plot By Plot SoA'!L297</f>
        <v>Y</v>
      </c>
      <c r="K7" s="97"/>
      <c r="L7" s="97"/>
      <c r="M7" s="97"/>
      <c r="N7" s="94"/>
      <c r="P7" s="180" t="s">
        <v>29</v>
      </c>
      <c r="Q7" s="128">
        <v>0</v>
      </c>
      <c r="R7" s="128">
        <v>0</v>
      </c>
      <c r="S7" s="93">
        <v>9</v>
      </c>
      <c r="T7" s="94">
        <f>SUM(Q7:S7)</f>
        <v>9</v>
      </c>
    </row>
    <row r="8" spans="1:20" x14ac:dyDescent="0.25">
      <c r="A8" s="88">
        <v>3</v>
      </c>
      <c r="B8" s="98">
        <f>'Plot By Plot SoA'!C298</f>
        <v>267</v>
      </c>
      <c r="C8" s="90">
        <f>'Plot By Plot SoA'!D298</f>
        <v>43.4</v>
      </c>
      <c r="D8" s="91">
        <f>'Plot By Plot SoA'!E298</f>
        <v>467.15325999999999</v>
      </c>
      <c r="E8" s="92"/>
      <c r="F8" s="92"/>
      <c r="G8" s="92"/>
      <c r="H8" s="93" t="str">
        <f>'Plot By Plot SoA'!J298</f>
        <v>Y</v>
      </c>
      <c r="I8" s="94"/>
      <c r="J8" s="99" t="str">
        <f>'Plot By Plot SoA'!L298</f>
        <v>Y</v>
      </c>
      <c r="K8" s="97"/>
      <c r="L8" s="97"/>
      <c r="M8" s="97"/>
      <c r="N8" s="94"/>
      <c r="P8" s="180" t="s">
        <v>30</v>
      </c>
      <c r="Q8" s="128">
        <v>0</v>
      </c>
      <c r="R8" s="128">
        <v>5</v>
      </c>
      <c r="S8" s="93">
        <v>0</v>
      </c>
      <c r="T8" s="94">
        <f>SUM(Q8:S8)</f>
        <v>5</v>
      </c>
    </row>
    <row r="9" spans="1:20" ht="15.75" thickBot="1" x14ac:dyDescent="0.3">
      <c r="A9" s="88">
        <v>4</v>
      </c>
      <c r="B9" s="98">
        <f>'Plot By Plot SoA'!C299</f>
        <v>268</v>
      </c>
      <c r="C9" s="90">
        <f>'Plot By Plot SoA'!D299</f>
        <v>43.4</v>
      </c>
      <c r="D9" s="91">
        <f>'Plot By Plot SoA'!E299</f>
        <v>467.15325999999999</v>
      </c>
      <c r="E9" s="92"/>
      <c r="F9" s="92"/>
      <c r="G9" s="92"/>
      <c r="H9" s="93" t="str">
        <f>'Plot By Plot SoA'!J299</f>
        <v>Y</v>
      </c>
      <c r="I9" s="94"/>
      <c r="J9" s="99" t="str">
        <f>'Plot By Plot SoA'!L299</f>
        <v>Y</v>
      </c>
      <c r="K9" s="97"/>
      <c r="L9" s="97"/>
      <c r="M9" s="97"/>
      <c r="N9" s="94"/>
      <c r="P9" s="190" t="s">
        <v>31</v>
      </c>
      <c r="Q9" s="186">
        <v>0</v>
      </c>
      <c r="R9" s="186">
        <v>0</v>
      </c>
      <c r="S9" s="187">
        <v>0</v>
      </c>
      <c r="T9" s="94">
        <f>SUM(Q9:S9)</f>
        <v>0</v>
      </c>
    </row>
    <row r="10" spans="1:20" ht="15.75" thickBot="1" x14ac:dyDescent="0.3">
      <c r="A10" s="88">
        <v>5</v>
      </c>
      <c r="B10" s="98">
        <f>'Plot By Plot SoA'!C300</f>
        <v>269</v>
      </c>
      <c r="C10" s="90">
        <f>'Plot By Plot SoA'!D300</f>
        <v>43.4</v>
      </c>
      <c r="D10" s="91">
        <f>'Plot By Plot SoA'!E300</f>
        <v>467.15325999999999</v>
      </c>
      <c r="E10" s="92"/>
      <c r="F10" s="92"/>
      <c r="G10" s="92"/>
      <c r="H10" s="93" t="str">
        <f>'Plot By Plot SoA'!J300</f>
        <v>Y</v>
      </c>
      <c r="I10" s="94"/>
      <c r="J10" s="99" t="str">
        <f>'Plot By Plot SoA'!L300</f>
        <v>Y</v>
      </c>
      <c r="K10" s="97"/>
      <c r="L10" s="97"/>
      <c r="M10" s="97"/>
      <c r="N10" s="94"/>
      <c r="P10" s="181" t="s">
        <v>55</v>
      </c>
      <c r="Q10" s="179">
        <f>SUM(Q7:Q9)</f>
        <v>0</v>
      </c>
      <c r="R10" s="179">
        <f>SUM(R7:R9)</f>
        <v>5</v>
      </c>
      <c r="S10" s="179">
        <f>SUM(S7:S9)</f>
        <v>9</v>
      </c>
      <c r="T10" s="178">
        <f>SUM(Q10:S10)</f>
        <v>14</v>
      </c>
    </row>
    <row r="11" spans="1:20" x14ac:dyDescent="0.25">
      <c r="A11" s="88">
        <v>6</v>
      </c>
      <c r="B11" s="98">
        <f>'Plot By Plot SoA'!C301</f>
        <v>270</v>
      </c>
      <c r="C11" s="90">
        <f>'Plot By Plot SoA'!D301</f>
        <v>51.2</v>
      </c>
      <c r="D11" s="91">
        <f>'Plot By Plot SoA'!E301</f>
        <v>551.11167999999998</v>
      </c>
      <c r="E11" s="92"/>
      <c r="F11" s="92"/>
      <c r="G11" s="92"/>
      <c r="H11" s="93" t="str">
        <f>'Plot By Plot SoA'!J301</f>
        <v>Y</v>
      </c>
      <c r="I11" s="94"/>
      <c r="J11" s="99" t="str">
        <f>'Plot By Plot SoA'!L301</f>
        <v>Y</v>
      </c>
      <c r="K11" s="97"/>
      <c r="L11" s="97"/>
      <c r="M11" s="97"/>
      <c r="N11" s="94"/>
    </row>
    <row r="12" spans="1:20" x14ac:dyDescent="0.25">
      <c r="A12" s="88">
        <v>7</v>
      </c>
      <c r="B12" s="98">
        <f>'Plot By Plot SoA'!C302</f>
        <v>271</v>
      </c>
      <c r="C12" s="90">
        <f>'Plot By Plot SoA'!D302</f>
        <v>43.4</v>
      </c>
      <c r="D12" s="91">
        <f>'Plot By Plot SoA'!E302</f>
        <v>467.15325999999999</v>
      </c>
      <c r="E12" s="92"/>
      <c r="F12" s="92"/>
      <c r="G12" s="92"/>
      <c r="H12" s="93" t="str">
        <f>'Plot By Plot SoA'!J302</f>
        <v>Y</v>
      </c>
      <c r="I12" s="94"/>
      <c r="J12" s="99" t="str">
        <f>'Plot By Plot SoA'!L302</f>
        <v>Y</v>
      </c>
      <c r="K12" s="97"/>
      <c r="L12" s="97"/>
      <c r="M12" s="97"/>
      <c r="N12" s="94"/>
    </row>
    <row r="13" spans="1:20" x14ac:dyDescent="0.25">
      <c r="A13" s="88">
        <v>8</v>
      </c>
      <c r="B13" s="98">
        <f>'Plot By Plot SoA'!C303</f>
        <v>272</v>
      </c>
      <c r="C13" s="90">
        <f>'Plot By Plot SoA'!D303</f>
        <v>43.4</v>
      </c>
      <c r="D13" s="91">
        <f>'Plot By Plot SoA'!E303</f>
        <v>467.15325999999999</v>
      </c>
      <c r="E13" s="92"/>
      <c r="F13" s="92"/>
      <c r="G13" s="92"/>
      <c r="H13" s="93" t="str">
        <f>'Plot By Plot SoA'!J303</f>
        <v>Y</v>
      </c>
      <c r="I13" s="94"/>
      <c r="J13" s="99" t="str">
        <f>'Plot By Plot SoA'!L303</f>
        <v>Y</v>
      </c>
      <c r="K13" s="97"/>
      <c r="L13" s="97"/>
      <c r="M13" s="97"/>
      <c r="N13" s="94"/>
    </row>
    <row r="14" spans="1:20" x14ac:dyDescent="0.25">
      <c r="A14" s="88">
        <v>9</v>
      </c>
      <c r="B14" s="98">
        <f>'Plot By Plot SoA'!C305</f>
        <v>274</v>
      </c>
      <c r="C14" s="90">
        <f>'Plot By Plot SoA'!D305</f>
        <v>39.200000000000003</v>
      </c>
      <c r="D14" s="91">
        <f>'Plot By Plot SoA'!E305</f>
        <v>421.94488000000001</v>
      </c>
      <c r="E14" s="92"/>
      <c r="F14" s="92"/>
      <c r="G14" s="92"/>
      <c r="H14" s="93">
        <f>'Plot By Plot SoA'!J305</f>
        <v>0</v>
      </c>
      <c r="I14" s="94"/>
      <c r="J14" s="99" t="str">
        <f>'Plot By Plot SoA'!L305</f>
        <v>Y</v>
      </c>
      <c r="K14" s="97"/>
      <c r="L14" s="97"/>
      <c r="M14" s="97"/>
      <c r="N14" s="94"/>
    </row>
    <row r="15" spans="1:20" x14ac:dyDescent="0.25">
      <c r="A15" s="88">
        <v>10</v>
      </c>
      <c r="B15" s="98">
        <f>'Plot By Plot SoA'!C306</f>
        <v>275</v>
      </c>
      <c r="C15" s="90">
        <f>'Plot By Plot SoA'!D306</f>
        <v>57.8</v>
      </c>
      <c r="D15" s="91">
        <f>'Plot By Plot SoA'!E306</f>
        <v>622.15341999999998</v>
      </c>
      <c r="E15" s="92"/>
      <c r="F15" s="92"/>
      <c r="G15" s="92" t="str">
        <f>'Plot By Plot SoA'!I306</f>
        <v>Y</v>
      </c>
      <c r="H15" s="93"/>
      <c r="I15" s="94"/>
      <c r="J15" s="99"/>
      <c r="K15" s="97">
        <f>'Plot By Plot SoA'!M306</f>
        <v>0</v>
      </c>
      <c r="L15" s="97"/>
      <c r="M15" s="97"/>
      <c r="N15" s="94"/>
    </row>
    <row r="16" spans="1:20" x14ac:dyDescent="0.25">
      <c r="A16" s="88">
        <v>11</v>
      </c>
      <c r="B16" s="98">
        <f>'Plot By Plot SoA'!C307</f>
        <v>276</v>
      </c>
      <c r="C16" s="90">
        <f>'Plot By Plot SoA'!D307</f>
        <v>57.8</v>
      </c>
      <c r="D16" s="91">
        <f>'Plot By Plot SoA'!E307</f>
        <v>622.15341999999998</v>
      </c>
      <c r="E16" s="92"/>
      <c r="F16" s="92"/>
      <c r="G16" s="92" t="str">
        <f>'Plot By Plot SoA'!I307</f>
        <v>Y</v>
      </c>
      <c r="H16" s="93"/>
      <c r="I16" s="94"/>
      <c r="J16" s="99"/>
      <c r="K16" s="97">
        <f>'Plot By Plot SoA'!M307</f>
        <v>0</v>
      </c>
      <c r="L16" s="97"/>
      <c r="M16" s="97"/>
      <c r="N16" s="94"/>
    </row>
    <row r="17" spans="1:14" x14ac:dyDescent="0.25">
      <c r="A17" s="88">
        <v>12</v>
      </c>
      <c r="B17" s="98">
        <f>'Plot By Plot SoA'!C308</f>
        <v>277</v>
      </c>
      <c r="C17" s="90">
        <f>'Plot By Plot SoA'!D308</f>
        <v>50.1</v>
      </c>
      <c r="D17" s="91">
        <f>'Plot By Plot SoA'!E308</f>
        <v>539.27139</v>
      </c>
      <c r="E17" s="92"/>
      <c r="F17" s="92"/>
      <c r="G17" s="92">
        <f>'Plot By Plot SoA'!I308</f>
        <v>0</v>
      </c>
      <c r="H17" s="93"/>
      <c r="I17" s="94"/>
      <c r="J17" s="99"/>
      <c r="K17" s="97">
        <f>'Plot By Plot SoA'!M308</f>
        <v>0</v>
      </c>
      <c r="L17" s="97"/>
      <c r="M17" s="97"/>
      <c r="N17" s="94"/>
    </row>
    <row r="18" spans="1:14" x14ac:dyDescent="0.25">
      <c r="A18" s="88">
        <v>13</v>
      </c>
      <c r="B18" s="98">
        <f>'Plot By Plot SoA'!C309</f>
        <v>278</v>
      </c>
      <c r="C18" s="90">
        <f>'Plot By Plot SoA'!D309</f>
        <v>100.1</v>
      </c>
      <c r="D18" s="91">
        <f>'Plot By Plot SoA'!E309</f>
        <v>1077.4663899999998</v>
      </c>
      <c r="E18" s="92"/>
      <c r="F18" s="92"/>
      <c r="G18" s="92" t="str">
        <f>'Plot By Plot SoA'!I309</f>
        <v>Y</v>
      </c>
      <c r="H18" s="93"/>
      <c r="I18" s="94"/>
      <c r="J18" s="99"/>
      <c r="K18" s="97" t="str">
        <f>'Plot By Plot SoA'!M309</f>
        <v>Y</v>
      </c>
      <c r="L18" s="97"/>
      <c r="M18" s="97"/>
      <c r="N18" s="94"/>
    </row>
    <row r="19" spans="1:14" ht="15.75" thickBot="1" x14ac:dyDescent="0.3">
      <c r="A19" s="88">
        <v>14</v>
      </c>
      <c r="B19" s="98">
        <f>'Plot By Plot SoA'!C310</f>
        <v>279</v>
      </c>
      <c r="C19" s="90">
        <f>'Plot By Plot SoA'!D310</f>
        <v>57.8</v>
      </c>
      <c r="D19" s="91">
        <f>'Plot By Plot SoA'!E310</f>
        <v>622.15341999999998</v>
      </c>
      <c r="E19" s="92"/>
      <c r="F19" s="92"/>
      <c r="G19" s="92" t="str">
        <f>'Plot By Plot SoA'!I310</f>
        <v>Y</v>
      </c>
      <c r="H19" s="93"/>
      <c r="I19" s="94"/>
      <c r="J19" s="99"/>
      <c r="K19" s="97">
        <f>'Plot By Plot SoA'!M310</f>
        <v>0</v>
      </c>
      <c r="L19" s="97"/>
      <c r="M19" s="97"/>
      <c r="N19" s="94"/>
    </row>
    <row r="20" spans="1:14" ht="45.75" thickBot="1" x14ac:dyDescent="0.3">
      <c r="A20" s="981"/>
      <c r="B20" s="69" t="s">
        <v>5</v>
      </c>
      <c r="C20" s="66"/>
      <c r="D20" s="67"/>
      <c r="E20" s="12">
        <f>COUNTA(E6:E19)</f>
        <v>0</v>
      </c>
      <c r="F20" s="12">
        <f>COUNTA(F6:F19)</f>
        <v>0</v>
      </c>
      <c r="G20" s="12">
        <f>COUNTA(G6:G19)</f>
        <v>5</v>
      </c>
      <c r="H20" s="12">
        <f>COUNTA(H6:H19)</f>
        <v>9</v>
      </c>
      <c r="I20" s="12"/>
      <c r="J20" s="16">
        <f>COUNTA(J6:J19)</f>
        <v>9</v>
      </c>
      <c r="K20" s="16">
        <f>COUNTA(K6:K19)</f>
        <v>5</v>
      </c>
      <c r="L20" s="16">
        <f>COUNTA(L6:L19)</f>
        <v>0</v>
      </c>
      <c r="M20" s="16">
        <f>COUNTA(M6:M19)</f>
        <v>0</v>
      </c>
      <c r="N20" s="68">
        <f>COUNTA(N6:N19)</f>
        <v>0</v>
      </c>
    </row>
    <row r="21" spans="1:14" ht="30.75" thickBot="1" x14ac:dyDescent="0.3">
      <c r="A21" s="982"/>
      <c r="B21" s="70" t="s">
        <v>6</v>
      </c>
      <c r="C21" s="972">
        <f>SUM(C6:C19)</f>
        <v>717.8</v>
      </c>
      <c r="D21" s="973"/>
      <c r="E21" s="973"/>
      <c r="F21" s="973"/>
      <c r="G21" s="973"/>
      <c r="H21" s="973"/>
      <c r="I21" s="974"/>
      <c r="J21" s="72">
        <f>SUM(1/J22*J20)</f>
        <v>0.64285714285714279</v>
      </c>
      <c r="K21" s="73">
        <f>SUM(1/J22*K20)</f>
        <v>0.3571428571428571</v>
      </c>
      <c r="L21" s="73">
        <f>SUM(1/J22*L20)</f>
        <v>0</v>
      </c>
      <c r="M21" s="73">
        <f>SUM(1/J22*M20)</f>
        <v>0</v>
      </c>
      <c r="N21" s="74">
        <f>SUM(1/J22*N20)</f>
        <v>0</v>
      </c>
    </row>
    <row r="22" spans="1:14" ht="45.75" thickBot="1" x14ac:dyDescent="0.3">
      <c r="A22" s="983"/>
      <c r="B22" s="71" t="s">
        <v>8</v>
      </c>
      <c r="C22" s="774">
        <f>SUM(C21*10.7639)</f>
        <v>7726.3274199999996</v>
      </c>
      <c r="D22" s="775"/>
      <c r="E22" s="775"/>
      <c r="F22" s="775"/>
      <c r="G22" s="775"/>
      <c r="H22" s="775"/>
      <c r="I22" s="776"/>
      <c r="J22" s="975">
        <f>SUM(J20:N20)</f>
        <v>14</v>
      </c>
      <c r="K22" s="976"/>
      <c r="L22" s="976"/>
      <c r="M22" s="976"/>
      <c r="N22" s="977"/>
    </row>
  </sheetData>
  <mergeCells count="17">
    <mergeCell ref="A1:A2"/>
    <mergeCell ref="B1:N2"/>
    <mergeCell ref="A3:A4"/>
    <mergeCell ref="B3:B4"/>
    <mergeCell ref="C3:C4"/>
    <mergeCell ref="F3:F4"/>
    <mergeCell ref="G3:G4"/>
    <mergeCell ref="H3:H4"/>
    <mergeCell ref="I3:I4"/>
    <mergeCell ref="J3:N4"/>
    <mergeCell ref="D3:D4"/>
    <mergeCell ref="E3:E4"/>
    <mergeCell ref="C21:I21"/>
    <mergeCell ref="C22:I22"/>
    <mergeCell ref="J22:N22"/>
    <mergeCell ref="P5:T5"/>
    <mergeCell ref="A20:A22"/>
  </mergeCells>
  <pageMargins left="0.7" right="0.7" top="0.75" bottom="0.75" header="0.3" footer="0.3"/>
  <pageSetup paperSize="8" scale="7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93E67-9158-49AA-BBBB-2B2F5D96AA18}">
  <sheetPr>
    <pageSetUpPr fitToPage="1"/>
  </sheetPr>
  <dimension ref="A1:T31"/>
  <sheetViews>
    <sheetView workbookViewId="0">
      <selection activeCell="I25" sqref="I25"/>
    </sheetView>
  </sheetViews>
  <sheetFormatPr defaultRowHeight="15" x14ac:dyDescent="0.25"/>
  <cols>
    <col min="6" max="6" width="11.42578125" customWidth="1"/>
  </cols>
  <sheetData>
    <row r="1" spans="1:20" x14ac:dyDescent="0.25">
      <c r="A1" s="889"/>
      <c r="B1" s="882" t="s">
        <v>38</v>
      </c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3"/>
    </row>
    <row r="2" spans="1:20" ht="15.75" thickBot="1" x14ac:dyDescent="0.3">
      <c r="A2" s="890"/>
      <c r="B2" s="883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5"/>
    </row>
    <row r="3" spans="1:20" x14ac:dyDescent="0.25">
      <c r="A3" s="890"/>
      <c r="B3" s="892" t="s">
        <v>0</v>
      </c>
      <c r="C3" s="712" t="s">
        <v>4</v>
      </c>
      <c r="D3" s="986" t="s">
        <v>19</v>
      </c>
      <c r="E3" s="720" t="s">
        <v>16</v>
      </c>
      <c r="F3" s="720" t="s">
        <v>3</v>
      </c>
      <c r="G3" s="720" t="s">
        <v>17</v>
      </c>
      <c r="H3" s="722" t="s">
        <v>18</v>
      </c>
      <c r="I3" s="984" t="s">
        <v>1</v>
      </c>
      <c r="J3" s="884" t="s">
        <v>2</v>
      </c>
      <c r="K3" s="714"/>
      <c r="L3" s="714"/>
      <c r="M3" s="714"/>
      <c r="N3" s="715"/>
    </row>
    <row r="4" spans="1:20" ht="15.75" thickBot="1" x14ac:dyDescent="0.3">
      <c r="A4" s="891"/>
      <c r="B4" s="893"/>
      <c r="C4" s="713"/>
      <c r="D4" s="987"/>
      <c r="E4" s="721"/>
      <c r="F4" s="721"/>
      <c r="G4" s="721"/>
      <c r="H4" s="723"/>
      <c r="I4" s="985"/>
      <c r="J4" s="885"/>
      <c r="K4" s="716"/>
      <c r="L4" s="716"/>
      <c r="M4" s="716"/>
      <c r="N4" s="717"/>
    </row>
    <row r="5" spans="1:20" ht="15.75" thickTop="1" x14ac:dyDescent="0.25">
      <c r="A5" s="76" t="s">
        <v>27</v>
      </c>
      <c r="B5" s="75"/>
      <c r="C5" s="84"/>
      <c r="D5" s="86"/>
      <c r="E5" s="85"/>
      <c r="F5" s="83"/>
      <c r="G5" s="83"/>
      <c r="H5" s="82"/>
      <c r="I5" s="77"/>
      <c r="J5" s="78">
        <v>1</v>
      </c>
      <c r="K5" s="79">
        <v>2</v>
      </c>
      <c r="L5" s="79">
        <v>3</v>
      </c>
      <c r="M5" s="81">
        <v>4</v>
      </c>
      <c r="N5" s="80">
        <v>5</v>
      </c>
      <c r="P5" s="978" t="s">
        <v>56</v>
      </c>
      <c r="Q5" s="979"/>
      <c r="R5" s="979"/>
      <c r="S5" s="979"/>
      <c r="T5" s="980"/>
    </row>
    <row r="6" spans="1:20" x14ac:dyDescent="0.25">
      <c r="A6" s="110">
        <v>1</v>
      </c>
      <c r="B6" s="89">
        <f>'Plot By Plot SoA'!C288</f>
        <v>257</v>
      </c>
      <c r="C6" s="111">
        <f>'Plot By Plot SoA'!D288</f>
        <v>43.4</v>
      </c>
      <c r="D6" s="112">
        <f>'Plot By Plot SoA'!E288</f>
        <v>467.15325999999999</v>
      </c>
      <c r="E6" s="116"/>
      <c r="F6" s="118">
        <f>'Plot By Plot SoA'!H288</f>
        <v>0</v>
      </c>
      <c r="G6" s="118"/>
      <c r="H6" s="112"/>
      <c r="I6" s="117"/>
      <c r="J6" s="115"/>
      <c r="K6" s="116"/>
      <c r="L6" s="116">
        <f>'Plot By Plot SoA'!N288</f>
        <v>0</v>
      </c>
      <c r="M6" s="116"/>
      <c r="N6" s="117"/>
      <c r="P6" s="189"/>
      <c r="Q6" s="184" t="s">
        <v>57</v>
      </c>
      <c r="R6" s="184" t="s">
        <v>58</v>
      </c>
      <c r="S6" s="185" t="s">
        <v>59</v>
      </c>
      <c r="T6" s="188" t="s">
        <v>55</v>
      </c>
    </row>
    <row r="7" spans="1:20" x14ac:dyDescent="0.25">
      <c r="A7" s="88">
        <v>2</v>
      </c>
      <c r="B7" s="98">
        <f>'Plot By Plot SoA'!C290</f>
        <v>259</v>
      </c>
      <c r="C7" s="92">
        <f>'Plot By Plot SoA'!D290</f>
        <v>43.4</v>
      </c>
      <c r="D7" s="91">
        <f>'Plot By Plot SoA'!E290</f>
        <v>467.15325999999999</v>
      </c>
      <c r="E7" s="92"/>
      <c r="F7" s="92"/>
      <c r="G7" s="92">
        <f>'Plot By Plot SoA'!I290</f>
        <v>0</v>
      </c>
      <c r="H7" s="100"/>
      <c r="I7" s="94"/>
      <c r="J7" s="99"/>
      <c r="K7" s="97">
        <f>'Plot By Plot SoA'!M290</f>
        <v>0</v>
      </c>
      <c r="L7" s="97"/>
      <c r="M7" s="97"/>
      <c r="N7" s="94"/>
      <c r="P7" s="180" t="s">
        <v>29</v>
      </c>
      <c r="Q7" s="128">
        <v>0</v>
      </c>
      <c r="R7" s="128">
        <v>0</v>
      </c>
      <c r="S7" s="93">
        <v>10</v>
      </c>
      <c r="T7" s="94">
        <f>SUM(Q7:S7)</f>
        <v>10</v>
      </c>
    </row>
    <row r="8" spans="1:20" x14ac:dyDescent="0.25">
      <c r="A8" s="88">
        <v>3</v>
      </c>
      <c r="B8" s="98">
        <f>'Plot By Plot SoA'!C292</f>
        <v>261</v>
      </c>
      <c r="C8" s="92">
        <f>'Plot By Plot SoA'!D292</f>
        <v>43.4</v>
      </c>
      <c r="D8" s="91">
        <f>'Plot By Plot SoA'!E292</f>
        <v>467.15325999999999</v>
      </c>
      <c r="E8" s="92"/>
      <c r="F8" s="92"/>
      <c r="G8" s="92">
        <f>'Plot By Plot SoA'!I292</f>
        <v>0</v>
      </c>
      <c r="H8" s="100"/>
      <c r="I8" s="94"/>
      <c r="J8" s="99"/>
      <c r="K8" s="97">
        <f>'Plot By Plot SoA'!M292</f>
        <v>0</v>
      </c>
      <c r="L8" s="92"/>
      <c r="M8" s="97"/>
      <c r="N8" s="94"/>
      <c r="P8" s="180" t="s">
        <v>30</v>
      </c>
      <c r="Q8" s="128">
        <v>0</v>
      </c>
      <c r="R8" s="128">
        <v>11</v>
      </c>
      <c r="S8" s="93">
        <v>0</v>
      </c>
      <c r="T8" s="94">
        <f>SUM(Q8:S8)</f>
        <v>11</v>
      </c>
    </row>
    <row r="9" spans="1:20" ht="15.75" thickBot="1" x14ac:dyDescent="0.3">
      <c r="A9" s="88">
        <v>4</v>
      </c>
      <c r="B9" s="98">
        <f>'Plot By Plot SoA'!C294</f>
        <v>263</v>
      </c>
      <c r="C9" s="92">
        <f>'Plot By Plot SoA'!D294</f>
        <v>43.4</v>
      </c>
      <c r="D9" s="91">
        <f>'Plot By Plot SoA'!E294</f>
        <v>467.15325999999999</v>
      </c>
      <c r="E9" s="92"/>
      <c r="F9" s="92"/>
      <c r="G9" s="92">
        <f>'Plot By Plot SoA'!I294</f>
        <v>0</v>
      </c>
      <c r="H9" s="93"/>
      <c r="I9" s="94"/>
      <c r="J9" s="99"/>
      <c r="K9" s="97">
        <f>'Plot By Plot SoA'!M294</f>
        <v>0</v>
      </c>
      <c r="L9" s="97"/>
      <c r="M9" s="97"/>
      <c r="N9" s="94"/>
      <c r="P9" s="190" t="s">
        <v>31</v>
      </c>
      <c r="Q9" s="186">
        <v>1</v>
      </c>
      <c r="R9" s="186">
        <v>0</v>
      </c>
      <c r="S9" s="187">
        <v>1</v>
      </c>
      <c r="T9" s="94">
        <f>SUM(Q9:S9)</f>
        <v>2</v>
      </c>
    </row>
    <row r="10" spans="1:20" ht="15.75" thickBot="1" x14ac:dyDescent="0.3">
      <c r="A10" s="88">
        <v>5</v>
      </c>
      <c r="B10" s="98">
        <f>'Plot By Plot SoA'!C296</f>
        <v>265</v>
      </c>
      <c r="C10" s="92">
        <f>'Plot By Plot SoA'!D296</f>
        <v>43.4</v>
      </c>
      <c r="D10" s="91">
        <f>'Plot By Plot SoA'!E296</f>
        <v>467.15325999999999</v>
      </c>
      <c r="E10" s="92"/>
      <c r="F10" s="92"/>
      <c r="G10" s="92"/>
      <c r="H10" s="93" t="str">
        <f>'Plot By Plot SoA'!J296</f>
        <v>Y</v>
      </c>
      <c r="I10" s="94"/>
      <c r="J10" s="99" t="str">
        <f>'Plot By Plot SoA'!L296</f>
        <v>Y</v>
      </c>
      <c r="K10" s="97"/>
      <c r="L10" s="97"/>
      <c r="M10" s="97"/>
      <c r="N10" s="94"/>
      <c r="P10" s="181" t="s">
        <v>55</v>
      </c>
      <c r="Q10" s="179">
        <f>SUM(Q7:Q9)</f>
        <v>1</v>
      </c>
      <c r="R10" s="179">
        <f>SUM(R7:R9)</f>
        <v>11</v>
      </c>
      <c r="S10" s="179">
        <f>SUM(S7:S9)</f>
        <v>11</v>
      </c>
      <c r="T10" s="178">
        <f>SUM(Q10:S10)</f>
        <v>23</v>
      </c>
    </row>
    <row r="11" spans="1:20" x14ac:dyDescent="0.25">
      <c r="A11" s="88">
        <v>6</v>
      </c>
      <c r="B11" s="98">
        <f>'Plot By Plot SoA'!C297</f>
        <v>266</v>
      </c>
      <c r="C11" s="92">
        <f>'Plot By Plot SoA'!D297</f>
        <v>43.4</v>
      </c>
      <c r="D11" s="91">
        <f>'Plot By Plot SoA'!E297</f>
        <v>467.15325999999999</v>
      </c>
      <c r="E11" s="92"/>
      <c r="F11" s="92"/>
      <c r="G11" s="92"/>
      <c r="H11" s="100" t="str">
        <f>'Plot By Plot SoA'!J297</f>
        <v>Y</v>
      </c>
      <c r="I11" s="94"/>
      <c r="J11" s="99" t="str">
        <f>'Plot By Plot SoA'!L297</f>
        <v>Y</v>
      </c>
      <c r="K11" s="97"/>
      <c r="L11" s="97"/>
      <c r="M11" s="97"/>
      <c r="N11" s="94"/>
    </row>
    <row r="12" spans="1:20" x14ac:dyDescent="0.25">
      <c r="A12" s="88">
        <v>7</v>
      </c>
      <c r="B12" s="98">
        <f>'Plot By Plot SoA'!C298</f>
        <v>267</v>
      </c>
      <c r="C12" s="92">
        <f>'Plot By Plot SoA'!D298</f>
        <v>43.4</v>
      </c>
      <c r="D12" s="91">
        <f>'Plot By Plot SoA'!E298</f>
        <v>467.15325999999999</v>
      </c>
      <c r="E12" s="92"/>
      <c r="F12" s="92"/>
      <c r="G12" s="92"/>
      <c r="H12" s="100" t="str">
        <f>'Plot By Plot SoA'!J298</f>
        <v>Y</v>
      </c>
      <c r="I12" s="94"/>
      <c r="J12" s="99" t="str">
        <f>'Plot By Plot SoA'!L298</f>
        <v>Y</v>
      </c>
      <c r="K12" s="97"/>
      <c r="L12" s="97"/>
      <c r="M12" s="97"/>
      <c r="N12" s="94"/>
    </row>
    <row r="13" spans="1:20" x14ac:dyDescent="0.25">
      <c r="A13" s="88">
        <v>8</v>
      </c>
      <c r="B13" s="98">
        <f>'Plot By Plot SoA'!C299</f>
        <v>268</v>
      </c>
      <c r="C13" s="92">
        <f>'Plot By Plot SoA'!D299</f>
        <v>43.4</v>
      </c>
      <c r="D13" s="91">
        <f>'Plot By Plot SoA'!E299</f>
        <v>467.15325999999999</v>
      </c>
      <c r="E13" s="92"/>
      <c r="F13" s="92"/>
      <c r="G13" s="92"/>
      <c r="H13" s="100" t="str">
        <f>'Plot By Plot SoA'!J299</f>
        <v>Y</v>
      </c>
      <c r="I13" s="94"/>
      <c r="J13" s="99" t="str">
        <f>'Plot By Plot SoA'!L299</f>
        <v>Y</v>
      </c>
      <c r="K13" s="97"/>
      <c r="L13" s="97"/>
      <c r="M13" s="97"/>
      <c r="N13" s="94"/>
    </row>
    <row r="14" spans="1:20" x14ac:dyDescent="0.25">
      <c r="A14" s="88">
        <v>9</v>
      </c>
      <c r="B14" s="98">
        <f>'Plot By Plot SoA'!C300</f>
        <v>269</v>
      </c>
      <c r="C14" s="92">
        <f>'Plot By Plot SoA'!D300</f>
        <v>43.4</v>
      </c>
      <c r="D14" s="91">
        <f>'Plot By Plot SoA'!E300</f>
        <v>467.15325999999999</v>
      </c>
      <c r="E14" s="92"/>
      <c r="F14" s="92"/>
      <c r="G14" s="92"/>
      <c r="H14" s="100" t="str">
        <f>'Plot By Plot SoA'!J300</f>
        <v>Y</v>
      </c>
      <c r="I14" s="94"/>
      <c r="J14" s="99" t="str">
        <f>'Plot By Plot SoA'!L300</f>
        <v>Y</v>
      </c>
      <c r="K14" s="97"/>
      <c r="L14" s="97"/>
      <c r="M14" s="97"/>
      <c r="N14" s="94"/>
    </row>
    <row r="15" spans="1:20" x14ac:dyDescent="0.25">
      <c r="A15" s="88">
        <v>10</v>
      </c>
      <c r="B15" s="98">
        <f>'Plot By Plot SoA'!C301</f>
        <v>270</v>
      </c>
      <c r="C15" s="92">
        <f>'Plot By Plot SoA'!D301</f>
        <v>51.2</v>
      </c>
      <c r="D15" s="91">
        <f>'Plot By Plot SoA'!E301</f>
        <v>551.11167999999998</v>
      </c>
      <c r="E15" s="92"/>
      <c r="F15" s="92"/>
      <c r="G15" s="92"/>
      <c r="H15" s="100" t="str">
        <f>'Plot By Plot SoA'!J301</f>
        <v>Y</v>
      </c>
      <c r="I15" s="94"/>
      <c r="J15" s="99" t="str">
        <f>'Plot By Plot SoA'!L301</f>
        <v>Y</v>
      </c>
      <c r="K15" s="97"/>
      <c r="L15" s="97"/>
      <c r="M15" s="97"/>
      <c r="N15" s="94"/>
    </row>
    <row r="16" spans="1:20" x14ac:dyDescent="0.25">
      <c r="A16" s="88">
        <v>11</v>
      </c>
      <c r="B16" s="98">
        <f>'Plot By Plot SoA'!C302</f>
        <v>271</v>
      </c>
      <c r="C16" s="92">
        <f>'Plot By Plot SoA'!D302</f>
        <v>43.4</v>
      </c>
      <c r="D16" s="91">
        <f>'Plot By Plot SoA'!E302</f>
        <v>467.15325999999999</v>
      </c>
      <c r="E16" s="92"/>
      <c r="F16" s="92"/>
      <c r="G16" s="92"/>
      <c r="H16" s="100" t="str">
        <f>'Plot By Plot SoA'!J302</f>
        <v>Y</v>
      </c>
      <c r="I16" s="94"/>
      <c r="J16" s="99" t="str">
        <f>'Plot By Plot SoA'!L302</f>
        <v>Y</v>
      </c>
      <c r="K16" s="97"/>
      <c r="L16" s="97"/>
      <c r="M16" s="97"/>
      <c r="N16" s="94"/>
    </row>
    <row r="17" spans="1:14" x14ac:dyDescent="0.25">
      <c r="A17" s="88">
        <v>12</v>
      </c>
      <c r="B17" s="98">
        <f>'Plot By Plot SoA'!C303</f>
        <v>272</v>
      </c>
      <c r="C17" s="92">
        <f>'Plot By Plot SoA'!D303</f>
        <v>43.4</v>
      </c>
      <c r="D17" s="91">
        <f>'Plot By Plot SoA'!E303</f>
        <v>467.15325999999999</v>
      </c>
      <c r="E17" s="92"/>
      <c r="F17" s="92"/>
      <c r="G17" s="92"/>
      <c r="H17" s="100" t="str">
        <f>'Plot By Plot SoA'!J303</f>
        <v>Y</v>
      </c>
      <c r="I17" s="94"/>
      <c r="J17" s="99" t="str">
        <f>'Plot By Plot SoA'!L303</f>
        <v>Y</v>
      </c>
      <c r="K17" s="97"/>
      <c r="L17" s="97"/>
      <c r="M17" s="97"/>
      <c r="N17" s="94"/>
    </row>
    <row r="18" spans="1:14" x14ac:dyDescent="0.25">
      <c r="A18" s="88">
        <v>13</v>
      </c>
      <c r="B18" s="98">
        <f>'Plot By Plot SoA'!C305</f>
        <v>274</v>
      </c>
      <c r="C18" s="92">
        <f>'Plot By Plot SoA'!D305</f>
        <v>39.200000000000003</v>
      </c>
      <c r="D18" s="91">
        <f>'Plot By Plot SoA'!E305</f>
        <v>421.94488000000001</v>
      </c>
      <c r="E18" s="92"/>
      <c r="F18" s="92"/>
      <c r="G18" s="92"/>
      <c r="H18" s="100">
        <f>'Plot By Plot SoA'!J305</f>
        <v>0</v>
      </c>
      <c r="I18" s="94"/>
      <c r="J18" s="99" t="str">
        <f>'Plot By Plot SoA'!L305</f>
        <v>Y</v>
      </c>
      <c r="K18" s="97"/>
      <c r="L18" s="97"/>
      <c r="M18" s="97"/>
      <c r="N18" s="94"/>
    </row>
    <row r="19" spans="1:14" x14ac:dyDescent="0.25">
      <c r="A19" s="88">
        <v>14</v>
      </c>
      <c r="B19" s="98">
        <f>'Plot By Plot SoA'!C306</f>
        <v>275</v>
      </c>
      <c r="C19" s="92">
        <f>'Plot By Plot SoA'!D306</f>
        <v>57.8</v>
      </c>
      <c r="D19" s="91">
        <f>'Plot By Plot SoA'!E306</f>
        <v>622.15341999999998</v>
      </c>
      <c r="E19" s="92"/>
      <c r="F19" s="92"/>
      <c r="G19" s="92" t="str">
        <f>'Plot By Plot SoA'!I306</f>
        <v>Y</v>
      </c>
      <c r="H19" s="100"/>
      <c r="I19" s="94"/>
      <c r="J19" s="99"/>
      <c r="K19" s="97">
        <f>'Plot By Plot SoA'!M306</f>
        <v>0</v>
      </c>
      <c r="L19" s="97"/>
      <c r="M19" s="97"/>
      <c r="N19" s="94"/>
    </row>
    <row r="20" spans="1:14" x14ac:dyDescent="0.25">
      <c r="A20" s="88">
        <v>15</v>
      </c>
      <c r="B20" s="98">
        <f>'Plot By Plot SoA'!C307</f>
        <v>276</v>
      </c>
      <c r="C20" s="92">
        <f>'Plot By Plot SoA'!D307</f>
        <v>57.8</v>
      </c>
      <c r="D20" s="91">
        <f>'Plot By Plot SoA'!E307</f>
        <v>622.15341999999998</v>
      </c>
      <c r="E20" s="92"/>
      <c r="F20" s="92"/>
      <c r="G20" s="92" t="str">
        <f>'Plot By Plot SoA'!I307</f>
        <v>Y</v>
      </c>
      <c r="H20" s="100"/>
      <c r="I20" s="94"/>
      <c r="J20" s="99"/>
      <c r="K20" s="97">
        <f>'Plot By Plot SoA'!M307</f>
        <v>0</v>
      </c>
      <c r="L20" s="97"/>
      <c r="M20" s="97"/>
      <c r="N20" s="94"/>
    </row>
    <row r="21" spans="1:14" x14ac:dyDescent="0.25">
      <c r="A21" s="88">
        <v>16</v>
      </c>
      <c r="B21" s="98">
        <f>'Plot By Plot SoA'!C308</f>
        <v>277</v>
      </c>
      <c r="C21" s="92">
        <f>'Plot By Plot SoA'!D308</f>
        <v>50.1</v>
      </c>
      <c r="D21" s="91">
        <f>'Plot By Plot SoA'!E308</f>
        <v>539.27139</v>
      </c>
      <c r="E21" s="92"/>
      <c r="F21" s="92"/>
      <c r="G21" s="92">
        <f>'Plot By Plot SoA'!I308</f>
        <v>0</v>
      </c>
      <c r="H21" s="100"/>
      <c r="I21" s="94"/>
      <c r="J21" s="99"/>
      <c r="K21" s="97">
        <f>'Plot By Plot SoA'!M308</f>
        <v>0</v>
      </c>
      <c r="L21" s="97"/>
      <c r="M21" s="97"/>
      <c r="N21" s="94"/>
    </row>
    <row r="22" spans="1:14" x14ac:dyDescent="0.25">
      <c r="A22" s="88">
        <v>17</v>
      </c>
      <c r="B22" s="98">
        <f>'Plot By Plot SoA'!C309</f>
        <v>278</v>
      </c>
      <c r="C22" s="92">
        <f>'Plot By Plot SoA'!D309</f>
        <v>100.1</v>
      </c>
      <c r="D22" s="91">
        <f>'Plot By Plot SoA'!E309</f>
        <v>1077.4663899999998</v>
      </c>
      <c r="E22" s="92"/>
      <c r="F22" s="92"/>
      <c r="G22" s="92" t="str">
        <f>'Plot By Plot SoA'!I309</f>
        <v>Y</v>
      </c>
      <c r="H22" s="100"/>
      <c r="I22" s="94"/>
      <c r="J22" s="99"/>
      <c r="K22" s="97" t="str">
        <f>'Plot By Plot SoA'!M309</f>
        <v>Y</v>
      </c>
      <c r="L22" s="97"/>
      <c r="M22" s="97"/>
      <c r="N22" s="94"/>
    </row>
    <row r="23" spans="1:14" x14ac:dyDescent="0.25">
      <c r="A23" s="88">
        <v>18</v>
      </c>
      <c r="B23" s="98">
        <f>'Plot By Plot SoA'!C310</f>
        <v>279</v>
      </c>
      <c r="C23" s="92">
        <f>'Plot By Plot SoA'!D310</f>
        <v>57.8</v>
      </c>
      <c r="D23" s="91">
        <f>'Plot By Plot SoA'!E310</f>
        <v>622.15341999999998</v>
      </c>
      <c r="E23" s="92"/>
      <c r="F23" s="92"/>
      <c r="G23" s="92" t="str">
        <f>'Plot By Plot SoA'!I310</f>
        <v>Y</v>
      </c>
      <c r="H23" s="100"/>
      <c r="I23" s="94"/>
      <c r="J23" s="99"/>
      <c r="K23" s="97">
        <f>'Plot By Plot SoA'!M310</f>
        <v>0</v>
      </c>
      <c r="L23" s="97"/>
      <c r="M23" s="97"/>
      <c r="N23" s="94"/>
    </row>
    <row r="24" spans="1:14" x14ac:dyDescent="0.25">
      <c r="A24" s="88">
        <v>19</v>
      </c>
      <c r="B24" s="98">
        <f>'Plot By Plot SoA'!C311</f>
        <v>280</v>
      </c>
      <c r="C24" s="92">
        <f>'Plot By Plot SoA'!D311</f>
        <v>57.8</v>
      </c>
      <c r="D24" s="91">
        <f>'Plot By Plot SoA'!E311</f>
        <v>622.15341999999998</v>
      </c>
      <c r="E24" s="92"/>
      <c r="F24" s="92"/>
      <c r="G24" s="92" t="str">
        <f>'Plot By Plot SoA'!I311</f>
        <v>Y</v>
      </c>
      <c r="H24" s="100"/>
      <c r="I24" s="94"/>
      <c r="J24" s="99"/>
      <c r="K24" s="97">
        <f>'Plot By Plot SoA'!M311</f>
        <v>0</v>
      </c>
      <c r="L24" s="97"/>
      <c r="M24" s="97"/>
      <c r="N24" s="94"/>
    </row>
    <row r="25" spans="1:14" x14ac:dyDescent="0.25">
      <c r="A25" s="88">
        <v>20</v>
      </c>
      <c r="B25" s="98">
        <f>'Plot By Plot SoA'!C313</f>
        <v>282</v>
      </c>
      <c r="C25" s="92">
        <f>'Plot By Plot SoA'!D313</f>
        <v>69.599999999999994</v>
      </c>
      <c r="D25" s="91">
        <f>'Plot By Plot SoA'!E313</f>
        <v>749.16743999999994</v>
      </c>
      <c r="E25" s="92"/>
      <c r="F25" s="92"/>
      <c r="G25" s="92" t="str">
        <f>'Plot By Plot SoA'!I313</f>
        <v>Y</v>
      </c>
      <c r="H25" s="100"/>
      <c r="I25" s="94"/>
      <c r="J25" s="99"/>
      <c r="K25" s="97" t="str">
        <f>'Plot By Plot SoA'!M313</f>
        <v>Y</v>
      </c>
      <c r="L25" s="97"/>
      <c r="M25" s="97"/>
      <c r="N25" s="94"/>
    </row>
    <row r="26" spans="1:14" x14ac:dyDescent="0.25">
      <c r="A26" s="88">
        <v>21</v>
      </c>
      <c r="B26" s="98">
        <f>'Plot By Plot SoA'!C316</f>
        <v>285</v>
      </c>
      <c r="C26" s="92">
        <f>'Plot By Plot SoA'!D316</f>
        <v>87.3</v>
      </c>
      <c r="D26" s="91">
        <f>'Plot By Plot SoA'!E316</f>
        <v>939.68846999999994</v>
      </c>
      <c r="E26" s="92"/>
      <c r="F26" s="92"/>
      <c r="G26" s="92" t="str">
        <f>'Plot By Plot SoA'!I316</f>
        <v>Y</v>
      </c>
      <c r="H26" s="100"/>
      <c r="I26" s="94"/>
      <c r="J26" s="99"/>
      <c r="K26" s="97">
        <f>'Plot By Plot SoA'!M316</f>
        <v>0</v>
      </c>
      <c r="L26" s="97"/>
      <c r="M26" s="97"/>
      <c r="N26" s="94"/>
    </row>
    <row r="27" spans="1:14" x14ac:dyDescent="0.25">
      <c r="A27" s="88">
        <v>22</v>
      </c>
      <c r="B27" s="98">
        <f>'Plot By Plot SoA'!C319</f>
        <v>288</v>
      </c>
      <c r="C27" s="92">
        <f>'Plot By Plot SoA'!D319</f>
        <v>69.599999999999994</v>
      </c>
      <c r="D27" s="91">
        <f>'Plot By Plot SoA'!E319</f>
        <v>749.16743999999994</v>
      </c>
      <c r="E27" s="92"/>
      <c r="F27" s="92"/>
      <c r="G27" s="92"/>
      <c r="H27" s="100">
        <f>'Plot By Plot SoA'!J319</f>
        <v>0</v>
      </c>
      <c r="I27" s="94"/>
      <c r="J27" s="99">
        <f>'Plot By Plot SoA'!L319</f>
        <v>0</v>
      </c>
      <c r="K27" s="97"/>
      <c r="L27" s="97"/>
      <c r="M27" s="97"/>
      <c r="N27" s="94"/>
    </row>
    <row r="28" spans="1:14" ht="15.75" thickBot="1" x14ac:dyDescent="0.3">
      <c r="A28" s="88">
        <v>23</v>
      </c>
      <c r="B28" s="98">
        <f>'Plot By Plot SoA'!C320</f>
        <v>289</v>
      </c>
      <c r="C28" s="92">
        <f>'Plot By Plot SoA'!D320</f>
        <v>59.4</v>
      </c>
      <c r="D28" s="91">
        <f>'Plot By Plot SoA'!E320</f>
        <v>639.37565999999993</v>
      </c>
      <c r="E28" s="92"/>
      <c r="F28" s="92"/>
      <c r="G28" s="92"/>
      <c r="H28" s="100" t="str">
        <f>'Plot By Plot SoA'!J320</f>
        <v>Y</v>
      </c>
      <c r="I28" s="94"/>
      <c r="J28" s="99"/>
      <c r="K28" s="97"/>
      <c r="L28" s="97">
        <f>'Plot By Plot SoA'!N320</f>
        <v>0</v>
      </c>
      <c r="M28" s="97"/>
      <c r="N28" s="94"/>
    </row>
    <row r="29" spans="1:14" ht="45.75" thickBot="1" x14ac:dyDescent="0.3">
      <c r="A29" s="981"/>
      <c r="B29" s="69" t="s">
        <v>5</v>
      </c>
      <c r="C29" s="66"/>
      <c r="D29" s="67"/>
      <c r="E29" s="12">
        <f>COUNTA(E6:E28)</f>
        <v>0</v>
      </c>
      <c r="F29" s="12">
        <f>COUNTA(F6:F28)</f>
        <v>1</v>
      </c>
      <c r="G29" s="12">
        <f>COUNTA(G6:G28)</f>
        <v>11</v>
      </c>
      <c r="H29" s="12">
        <f>COUNTA(H6:H28)</f>
        <v>11</v>
      </c>
      <c r="I29" s="12"/>
      <c r="J29" s="16">
        <f>COUNTA(J6:J28)</f>
        <v>10</v>
      </c>
      <c r="K29" s="16">
        <f>COUNTA(K6:K28)</f>
        <v>11</v>
      </c>
      <c r="L29" s="16">
        <f>COUNTA(L6:L28)</f>
        <v>2</v>
      </c>
      <c r="M29" s="16">
        <f>COUNTA(M6:M28)</f>
        <v>0</v>
      </c>
      <c r="N29" s="68">
        <f>COUNTA(N15:N28)</f>
        <v>0</v>
      </c>
    </row>
    <row r="30" spans="1:14" ht="30.75" thickBot="1" x14ac:dyDescent="0.3">
      <c r="A30" s="982"/>
      <c r="B30" s="70" t="s">
        <v>6</v>
      </c>
      <c r="C30" s="972">
        <f>SUM(C6:C28)</f>
        <v>1235.0999999999999</v>
      </c>
      <c r="D30" s="973"/>
      <c r="E30" s="973"/>
      <c r="F30" s="973"/>
      <c r="G30" s="973"/>
      <c r="H30" s="973"/>
      <c r="I30" s="974"/>
      <c r="J30" s="72">
        <f>SUM(1/J31*J29)</f>
        <v>0.43478260869565216</v>
      </c>
      <c r="K30" s="73">
        <f>SUM(1/J31*K29)</f>
        <v>0.47826086956521741</v>
      </c>
      <c r="L30" s="73">
        <f>SUM(1/J31*L29)</f>
        <v>8.6956521739130432E-2</v>
      </c>
      <c r="M30" s="73">
        <f>SUM(1/J31*M29)</f>
        <v>0</v>
      </c>
      <c r="N30" s="74">
        <f>SUM(1/J31*N29)</f>
        <v>0</v>
      </c>
    </row>
    <row r="31" spans="1:14" ht="45.75" thickBot="1" x14ac:dyDescent="0.3">
      <c r="A31" s="983"/>
      <c r="B31" s="71" t="s">
        <v>8</v>
      </c>
      <c r="C31" s="774">
        <f>SUM(C30*10.7639)</f>
        <v>13294.492889999998</v>
      </c>
      <c r="D31" s="775"/>
      <c r="E31" s="775"/>
      <c r="F31" s="775"/>
      <c r="G31" s="775"/>
      <c r="H31" s="775"/>
      <c r="I31" s="776"/>
      <c r="J31" s="975">
        <f>SUM(J29:N29)</f>
        <v>23</v>
      </c>
      <c r="K31" s="976"/>
      <c r="L31" s="976"/>
      <c r="M31" s="976"/>
      <c r="N31" s="977"/>
    </row>
  </sheetData>
  <mergeCells count="17">
    <mergeCell ref="P5:T5"/>
    <mergeCell ref="A29:A31"/>
    <mergeCell ref="C30:I30"/>
    <mergeCell ref="C31:I31"/>
    <mergeCell ref="J31:N31"/>
    <mergeCell ref="A1:A2"/>
    <mergeCell ref="B1:N2"/>
    <mergeCell ref="A3:A4"/>
    <mergeCell ref="J3:N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8" scale="71" fitToHeight="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B7839-5199-4EC2-BCCF-239AE535AE1D}">
  <sheetPr>
    <pageSetUpPr fitToPage="1"/>
  </sheetPr>
  <dimension ref="A1:T43"/>
  <sheetViews>
    <sheetView topLeftCell="A3" workbookViewId="0">
      <selection activeCell="I25" sqref="I25"/>
    </sheetView>
  </sheetViews>
  <sheetFormatPr defaultRowHeight="15" x14ac:dyDescent="0.25"/>
  <cols>
    <col min="1" max="1" width="12.42578125" bestFit="1" customWidth="1"/>
    <col min="6" max="6" width="13.28515625" customWidth="1"/>
  </cols>
  <sheetData>
    <row r="1" spans="1:20" x14ac:dyDescent="0.25">
      <c r="A1" s="889"/>
      <c r="B1" s="882" t="s">
        <v>38</v>
      </c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3"/>
    </row>
    <row r="2" spans="1:20" ht="15.75" thickBot="1" x14ac:dyDescent="0.3">
      <c r="A2" s="890"/>
      <c r="B2" s="883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5"/>
    </row>
    <row r="3" spans="1:20" x14ac:dyDescent="0.25">
      <c r="A3" s="890"/>
      <c r="B3" s="892" t="s">
        <v>0</v>
      </c>
      <c r="C3" s="712" t="s">
        <v>4</v>
      </c>
      <c r="D3" s="986" t="s">
        <v>19</v>
      </c>
      <c r="E3" s="720" t="s">
        <v>16</v>
      </c>
      <c r="F3" s="720" t="s">
        <v>3</v>
      </c>
      <c r="G3" s="720" t="s">
        <v>17</v>
      </c>
      <c r="H3" s="722" t="s">
        <v>18</v>
      </c>
      <c r="I3" s="984" t="s">
        <v>1</v>
      </c>
      <c r="J3" s="884" t="s">
        <v>2</v>
      </c>
      <c r="K3" s="714"/>
      <c r="L3" s="714"/>
      <c r="M3" s="714"/>
      <c r="N3" s="715"/>
    </row>
    <row r="4" spans="1:20" ht="15.75" thickBot="1" x14ac:dyDescent="0.3">
      <c r="A4" s="891"/>
      <c r="B4" s="893"/>
      <c r="C4" s="713"/>
      <c r="D4" s="987"/>
      <c r="E4" s="721"/>
      <c r="F4" s="721"/>
      <c r="G4" s="721"/>
      <c r="H4" s="723"/>
      <c r="I4" s="985"/>
      <c r="J4" s="885"/>
      <c r="K4" s="716"/>
      <c r="L4" s="716"/>
      <c r="M4" s="716"/>
      <c r="N4" s="717"/>
    </row>
    <row r="5" spans="1:20" ht="15.75" thickTop="1" x14ac:dyDescent="0.25">
      <c r="A5" s="76" t="s">
        <v>47</v>
      </c>
      <c r="B5" s="75"/>
      <c r="C5" s="84"/>
      <c r="D5" s="86"/>
      <c r="E5" s="85"/>
      <c r="F5" s="83"/>
      <c r="G5" s="83"/>
      <c r="H5" s="82"/>
      <c r="I5" s="77"/>
      <c r="J5" s="78">
        <v>1</v>
      </c>
      <c r="K5" s="79">
        <v>2</v>
      </c>
      <c r="L5" s="79">
        <v>3</v>
      </c>
      <c r="M5" s="81">
        <v>4</v>
      </c>
      <c r="N5" s="80">
        <v>5</v>
      </c>
      <c r="P5" s="978" t="s">
        <v>62</v>
      </c>
      <c r="Q5" s="979"/>
      <c r="R5" s="979"/>
      <c r="S5" s="979"/>
      <c r="T5" s="980"/>
    </row>
    <row r="6" spans="1:20" x14ac:dyDescent="0.25">
      <c r="A6" s="110">
        <v>1</v>
      </c>
      <c r="B6" s="89">
        <f>'Plot By Plot SoA'!C98</f>
        <v>85</v>
      </c>
      <c r="C6" s="125">
        <f>'Plot By Plot SoA'!D98</f>
        <v>78</v>
      </c>
      <c r="D6" s="114">
        <f>'Plot By Plot SoA'!E98</f>
        <v>839.58420000000001</v>
      </c>
      <c r="E6" s="125"/>
      <c r="F6" s="96"/>
      <c r="G6" s="96"/>
      <c r="H6" s="126">
        <f>'Plot By Plot SoA'!J98</f>
        <v>0</v>
      </c>
      <c r="I6" s="113"/>
      <c r="J6" s="95">
        <f>'Plot By Plot SoA'!L98</f>
        <v>0</v>
      </c>
      <c r="K6" s="111"/>
      <c r="L6" s="96"/>
      <c r="M6" s="111"/>
      <c r="N6" s="94"/>
      <c r="P6" s="189"/>
      <c r="Q6" s="184" t="s">
        <v>57</v>
      </c>
      <c r="R6" s="184" t="s">
        <v>58</v>
      </c>
      <c r="S6" s="185" t="s">
        <v>59</v>
      </c>
      <c r="T6" s="188" t="s">
        <v>55</v>
      </c>
    </row>
    <row r="7" spans="1:20" x14ac:dyDescent="0.25">
      <c r="A7" s="88">
        <v>2</v>
      </c>
      <c r="B7" s="98">
        <f>'Plot By Plot SoA'!C99</f>
        <v>86</v>
      </c>
      <c r="C7" s="90">
        <f>'Plot By Plot SoA'!D99</f>
        <v>78</v>
      </c>
      <c r="D7" s="127">
        <f>'Plot By Plot SoA'!E99</f>
        <v>839.58420000000001</v>
      </c>
      <c r="E7" s="90"/>
      <c r="F7" s="97"/>
      <c r="G7" s="97"/>
      <c r="H7" s="93">
        <f>'Plot By Plot SoA'!J99</f>
        <v>0</v>
      </c>
      <c r="I7" s="94"/>
      <c r="J7" s="99">
        <f>'Plot By Plot SoA'!L99</f>
        <v>0</v>
      </c>
      <c r="K7" s="92"/>
      <c r="L7" s="97"/>
      <c r="M7" s="92"/>
      <c r="N7" s="94"/>
      <c r="P7" s="180" t="s">
        <v>29</v>
      </c>
      <c r="Q7" s="128">
        <v>0</v>
      </c>
      <c r="R7" s="128">
        <v>0</v>
      </c>
      <c r="S7" s="93">
        <v>12</v>
      </c>
      <c r="T7" s="94">
        <f>SUM(Q7:S7)</f>
        <v>12</v>
      </c>
    </row>
    <row r="8" spans="1:20" x14ac:dyDescent="0.25">
      <c r="A8" s="88">
        <v>3</v>
      </c>
      <c r="B8" s="98">
        <f>'Plot By Plot SoA'!C100</f>
        <v>87</v>
      </c>
      <c r="C8" s="90">
        <f>'Plot By Plot SoA'!D100</f>
        <v>99.1</v>
      </c>
      <c r="D8" s="127">
        <f>'Plot By Plot SoA'!E100</f>
        <v>1066.7024899999999</v>
      </c>
      <c r="E8" s="90"/>
      <c r="F8" s="97"/>
      <c r="G8" s="97"/>
      <c r="H8" s="93">
        <f>'Plot By Plot SoA'!J100</f>
        <v>0</v>
      </c>
      <c r="I8" s="94"/>
      <c r="J8" s="99">
        <f>'Plot By Plot SoA'!L100</f>
        <v>0</v>
      </c>
      <c r="K8" s="92"/>
      <c r="L8" s="97"/>
      <c r="M8" s="92"/>
      <c r="N8" s="94"/>
      <c r="P8" s="180" t="s">
        <v>30</v>
      </c>
      <c r="Q8" s="128">
        <v>2</v>
      </c>
      <c r="R8" s="128">
        <v>21</v>
      </c>
      <c r="S8" s="93">
        <v>0</v>
      </c>
      <c r="T8" s="94">
        <f>SUM(Q8:S8)</f>
        <v>23</v>
      </c>
    </row>
    <row r="9" spans="1:20" ht="15.75" thickBot="1" x14ac:dyDescent="0.3">
      <c r="A9" s="88">
        <v>4</v>
      </c>
      <c r="B9" s="98">
        <f>'Plot By Plot SoA'!C102</f>
        <v>88</v>
      </c>
      <c r="C9" s="90">
        <f>'Plot By Plot SoA'!D102</f>
        <v>131.4</v>
      </c>
      <c r="D9" s="127">
        <f>'Plot By Plot SoA'!E102</f>
        <v>1414.37646</v>
      </c>
      <c r="E9" s="90"/>
      <c r="F9" s="97"/>
      <c r="G9" s="97"/>
      <c r="H9" s="93">
        <f>'Plot By Plot SoA'!J102</f>
        <v>0</v>
      </c>
      <c r="I9" s="94"/>
      <c r="J9" s="99">
        <f>'Plot By Plot SoA'!L102</f>
        <v>0</v>
      </c>
      <c r="K9" s="92"/>
      <c r="L9" s="97"/>
      <c r="M9" s="92"/>
      <c r="N9" s="94"/>
      <c r="P9" s="190" t="s">
        <v>31</v>
      </c>
      <c r="Q9" s="186">
        <v>0</v>
      </c>
      <c r="R9" s="186">
        <v>0</v>
      </c>
      <c r="S9" s="187">
        <v>0</v>
      </c>
      <c r="T9" s="94">
        <f>SUM(Q9:S9)</f>
        <v>0</v>
      </c>
    </row>
    <row r="10" spans="1:20" ht="15.75" thickBot="1" x14ac:dyDescent="0.3">
      <c r="A10" s="88">
        <v>5</v>
      </c>
      <c r="B10" s="98">
        <f>'Plot By Plot SoA'!C104</f>
        <v>89</v>
      </c>
      <c r="C10" s="90">
        <f>'Plot By Plot SoA'!D104</f>
        <v>131.4</v>
      </c>
      <c r="D10" s="127">
        <f>'Plot By Plot SoA'!E104</f>
        <v>1414.37646</v>
      </c>
      <c r="E10" s="90"/>
      <c r="F10" s="97"/>
      <c r="G10" s="97"/>
      <c r="H10" s="93">
        <f>'Plot By Plot SoA'!J104</f>
        <v>0</v>
      </c>
      <c r="I10" s="94"/>
      <c r="J10" s="99">
        <f>'Plot By Plot SoA'!L104</f>
        <v>0</v>
      </c>
      <c r="K10" s="128"/>
      <c r="L10" s="97"/>
      <c r="M10" s="92"/>
      <c r="N10" s="94"/>
      <c r="P10" s="181" t="s">
        <v>55</v>
      </c>
      <c r="Q10" s="179">
        <f>SUM(Q7:Q9)</f>
        <v>2</v>
      </c>
      <c r="R10" s="179">
        <f>SUM(R7:R9)</f>
        <v>21</v>
      </c>
      <c r="S10" s="179">
        <f>SUM(S7:S9)</f>
        <v>12</v>
      </c>
      <c r="T10" s="178">
        <f>SUM(Q10:S10)</f>
        <v>35</v>
      </c>
    </row>
    <row r="11" spans="1:20" x14ac:dyDescent="0.25">
      <c r="A11" s="88">
        <v>6</v>
      </c>
      <c r="B11" s="98">
        <f>'Plot By Plot SoA'!C105</f>
        <v>90</v>
      </c>
      <c r="C11" s="90">
        <f>'Plot By Plot SoA'!D105</f>
        <v>77.099999999999994</v>
      </c>
      <c r="D11" s="127">
        <f>'Plot By Plot SoA'!E105</f>
        <v>829.89668999999992</v>
      </c>
      <c r="E11" s="90"/>
      <c r="F11" s="97"/>
      <c r="G11" s="97"/>
      <c r="H11" s="93">
        <f>'Plot By Plot SoA'!J105</f>
        <v>0</v>
      </c>
      <c r="I11" s="94"/>
      <c r="J11" s="99">
        <f>'Plot By Plot SoA'!L105</f>
        <v>0</v>
      </c>
      <c r="K11" s="92"/>
      <c r="L11" s="97"/>
      <c r="M11" s="92"/>
      <c r="N11" s="94"/>
    </row>
    <row r="12" spans="1:20" x14ac:dyDescent="0.25">
      <c r="A12" s="88">
        <v>7</v>
      </c>
      <c r="B12" s="98">
        <f>'Plot By Plot SoA'!C106</f>
        <v>91</v>
      </c>
      <c r="C12" s="90">
        <f>'Plot By Plot SoA'!D106</f>
        <v>70</v>
      </c>
      <c r="D12" s="127">
        <f>'Plot By Plot SoA'!E106</f>
        <v>753.47299999999996</v>
      </c>
      <c r="E12" s="90"/>
      <c r="F12" s="97"/>
      <c r="G12" s="97"/>
      <c r="H12" s="93">
        <f>'Plot By Plot SoA'!J106</f>
        <v>0</v>
      </c>
      <c r="I12" s="94"/>
      <c r="J12" s="99">
        <f>'Plot By Plot SoA'!L106</f>
        <v>0</v>
      </c>
      <c r="K12" s="92"/>
      <c r="L12" s="97"/>
      <c r="M12" s="92"/>
      <c r="N12" s="94"/>
    </row>
    <row r="13" spans="1:20" x14ac:dyDescent="0.25">
      <c r="A13" s="88">
        <v>8</v>
      </c>
      <c r="B13" s="98">
        <f>'Plot By Plot SoA'!C107</f>
        <v>92</v>
      </c>
      <c r="C13" s="90">
        <f>'Plot By Plot SoA'!D107</f>
        <v>70</v>
      </c>
      <c r="D13" s="127">
        <f>'Plot By Plot SoA'!E107</f>
        <v>753.47299999999996</v>
      </c>
      <c r="E13" s="90"/>
      <c r="F13" s="97"/>
      <c r="G13" s="97"/>
      <c r="H13" s="93">
        <f>'Plot By Plot SoA'!J107</f>
        <v>0</v>
      </c>
      <c r="I13" s="94"/>
      <c r="J13" s="99">
        <f>'Plot By Plot SoA'!L107</f>
        <v>0</v>
      </c>
      <c r="K13" s="92"/>
      <c r="L13" s="97"/>
      <c r="M13" s="97"/>
      <c r="N13" s="94"/>
    </row>
    <row r="14" spans="1:20" x14ac:dyDescent="0.25">
      <c r="A14" s="88">
        <v>9</v>
      </c>
      <c r="B14" s="98">
        <f>'Plot By Plot SoA'!C108</f>
        <v>93</v>
      </c>
      <c r="C14" s="90">
        <f>'Plot By Plot SoA'!D108</f>
        <v>76.599999999999994</v>
      </c>
      <c r="D14" s="127">
        <f>'Plot By Plot SoA'!E108</f>
        <v>824.51473999999996</v>
      </c>
      <c r="E14" s="90"/>
      <c r="F14" s="97"/>
      <c r="G14" s="97"/>
      <c r="H14" s="93">
        <f>'Plot By Plot SoA'!J108</f>
        <v>0</v>
      </c>
      <c r="I14" s="94"/>
      <c r="J14" s="99">
        <f>'Plot By Plot SoA'!L108</f>
        <v>0</v>
      </c>
      <c r="K14" s="92"/>
      <c r="L14" s="97"/>
      <c r="M14" s="97"/>
      <c r="N14" s="94"/>
    </row>
    <row r="15" spans="1:20" x14ac:dyDescent="0.25">
      <c r="A15" s="88">
        <v>10</v>
      </c>
      <c r="B15" s="98">
        <f>'Plot By Plot SoA'!C111</f>
        <v>95</v>
      </c>
      <c r="C15" s="90">
        <f>'Plot By Plot SoA'!D111</f>
        <v>80.3</v>
      </c>
      <c r="D15" s="127">
        <f>'Plot By Plot SoA'!E111</f>
        <v>864.34116999999992</v>
      </c>
      <c r="E15" s="90"/>
      <c r="F15" s="97"/>
      <c r="G15" s="97"/>
      <c r="H15" s="93">
        <f>'Plot By Plot SoA'!J111</f>
        <v>0</v>
      </c>
      <c r="I15" s="94"/>
      <c r="J15" s="99">
        <f>'Plot By Plot SoA'!L111</f>
        <v>0</v>
      </c>
      <c r="K15" s="92"/>
      <c r="L15" s="97"/>
      <c r="M15" s="97"/>
      <c r="N15" s="94"/>
    </row>
    <row r="16" spans="1:20" x14ac:dyDescent="0.25">
      <c r="A16" s="88">
        <v>11</v>
      </c>
      <c r="B16" s="98">
        <f>'Plot By Plot SoA'!C112</f>
        <v>96</v>
      </c>
      <c r="C16" s="90">
        <f>'Plot By Plot SoA'!D112</f>
        <v>81</v>
      </c>
      <c r="D16" s="127">
        <f>'Plot By Plot SoA'!E112</f>
        <v>871.8759</v>
      </c>
      <c r="E16" s="90"/>
      <c r="F16" s="97"/>
      <c r="G16" s="97">
        <f>'Plot By Plot SoA'!I112</f>
        <v>0</v>
      </c>
      <c r="H16" s="93"/>
      <c r="I16" s="94"/>
      <c r="J16" s="99"/>
      <c r="K16" s="92">
        <f>'Plot By Plot SoA'!M112</f>
        <v>0</v>
      </c>
      <c r="L16" s="97"/>
      <c r="M16" s="97"/>
      <c r="N16" s="94"/>
    </row>
    <row r="17" spans="1:14" x14ac:dyDescent="0.25">
      <c r="A17" s="88">
        <v>12</v>
      </c>
      <c r="B17" s="98">
        <f>'Plot By Plot SoA'!C117</f>
        <v>98</v>
      </c>
      <c r="C17" s="90">
        <f>'Plot By Plot SoA'!D117</f>
        <v>179.6</v>
      </c>
      <c r="D17" s="127">
        <f>'Plot By Plot SoA'!E117</f>
        <v>1933.1964399999999</v>
      </c>
      <c r="E17" s="90"/>
      <c r="F17" s="97"/>
      <c r="G17" s="97">
        <f>'Plot By Plot SoA'!I117</f>
        <v>0</v>
      </c>
      <c r="H17" s="93"/>
      <c r="I17" s="94"/>
      <c r="J17" s="99"/>
      <c r="K17" s="92">
        <f>'Plot By Plot SoA'!M117</f>
        <v>0</v>
      </c>
      <c r="L17" s="97"/>
      <c r="M17" s="97"/>
      <c r="N17" s="94"/>
    </row>
    <row r="18" spans="1:14" x14ac:dyDescent="0.25">
      <c r="A18" s="88">
        <v>13</v>
      </c>
      <c r="B18" s="98">
        <f>'Plot By Plot SoA'!C121</f>
        <v>100</v>
      </c>
      <c r="C18" s="90">
        <f>'Plot By Plot SoA'!D121</f>
        <v>95</v>
      </c>
      <c r="D18" s="127">
        <f>'Plot By Plot SoA'!E121</f>
        <v>1022.5704999999999</v>
      </c>
      <c r="E18" s="90"/>
      <c r="F18" s="97"/>
      <c r="G18" s="97">
        <f>'Plot By Plot SoA'!I121</f>
        <v>0</v>
      </c>
      <c r="H18" s="93"/>
      <c r="I18" s="94"/>
      <c r="J18" s="99"/>
      <c r="K18" s="92" t="str">
        <f>'Plot By Plot SoA'!M121</f>
        <v>Y</v>
      </c>
      <c r="L18" s="97"/>
      <c r="M18" s="97"/>
      <c r="N18" s="94"/>
    </row>
    <row r="19" spans="1:14" x14ac:dyDescent="0.25">
      <c r="A19" s="88">
        <v>14</v>
      </c>
      <c r="B19" s="98">
        <f>'Plot By Plot SoA'!C123</f>
        <v>102</v>
      </c>
      <c r="C19" s="90">
        <f>'Plot By Plot SoA'!D123</f>
        <v>83.1</v>
      </c>
      <c r="D19" s="127">
        <f>'Plot By Plot SoA'!E123</f>
        <v>894.4800899999999</v>
      </c>
      <c r="E19" s="90"/>
      <c r="F19" s="97"/>
      <c r="G19" s="97">
        <f>'Plot By Plot SoA'!I123</f>
        <v>0</v>
      </c>
      <c r="H19" s="93"/>
      <c r="I19" s="94"/>
      <c r="J19" s="99"/>
      <c r="K19" s="92">
        <f>'Plot By Plot SoA'!M123</f>
        <v>0</v>
      </c>
      <c r="L19" s="97"/>
      <c r="M19" s="97"/>
      <c r="N19" s="94"/>
    </row>
    <row r="20" spans="1:14" x14ac:dyDescent="0.25">
      <c r="A20" s="88">
        <v>15</v>
      </c>
      <c r="B20" s="98">
        <f>'Plot By Plot SoA'!C126</f>
        <v>104</v>
      </c>
      <c r="C20" s="90">
        <f>'Plot By Plot SoA'!D126</f>
        <v>94.4</v>
      </c>
      <c r="D20" s="127">
        <f>'Plot By Plot SoA'!E126</f>
        <v>1016.11216</v>
      </c>
      <c r="E20" s="90"/>
      <c r="F20" s="97"/>
      <c r="G20" s="97">
        <f>'Plot By Plot SoA'!I126</f>
        <v>0</v>
      </c>
      <c r="H20" s="93"/>
      <c r="I20" s="94"/>
      <c r="J20" s="99"/>
      <c r="K20" s="92" t="str">
        <f>'Plot By Plot SoA'!M126</f>
        <v>Y</v>
      </c>
      <c r="L20" s="97"/>
      <c r="M20" s="97"/>
      <c r="N20" s="94"/>
    </row>
    <row r="21" spans="1:14" x14ac:dyDescent="0.25">
      <c r="A21" s="88">
        <v>16</v>
      </c>
      <c r="B21" s="98">
        <f>'Plot By Plot SoA'!C129</f>
        <v>106</v>
      </c>
      <c r="C21" s="90">
        <f>'Plot By Plot SoA'!D129</f>
        <v>89.4</v>
      </c>
      <c r="D21" s="127">
        <f>'Plot By Plot SoA'!E129</f>
        <v>962.29266000000007</v>
      </c>
      <c r="E21" s="90"/>
      <c r="F21" s="97"/>
      <c r="G21" s="97">
        <f>'Plot By Plot SoA'!I129</f>
        <v>0</v>
      </c>
      <c r="H21" s="93"/>
      <c r="I21" s="94"/>
      <c r="J21" s="99"/>
      <c r="K21" s="92">
        <f>'Plot By Plot SoA'!M129</f>
        <v>0</v>
      </c>
      <c r="L21" s="97"/>
      <c r="M21" s="97"/>
      <c r="N21" s="94"/>
    </row>
    <row r="22" spans="1:14" x14ac:dyDescent="0.25">
      <c r="A22" s="88">
        <v>17</v>
      </c>
      <c r="B22" s="98">
        <f>'Plot By Plot SoA'!C131</f>
        <v>108</v>
      </c>
      <c r="C22" s="90">
        <f>'Plot By Plot SoA'!D131</f>
        <v>108</v>
      </c>
      <c r="D22" s="127">
        <f>'Plot By Plot SoA'!E131</f>
        <v>1162.5011999999999</v>
      </c>
      <c r="E22" s="90"/>
      <c r="F22" s="97"/>
      <c r="G22" s="97">
        <f>'Plot By Plot SoA'!I131</f>
        <v>0</v>
      </c>
      <c r="H22" s="93"/>
      <c r="I22" s="94"/>
      <c r="J22" s="99"/>
      <c r="K22" s="92">
        <f>'Plot By Plot SoA'!M131</f>
        <v>0</v>
      </c>
      <c r="L22" s="97"/>
      <c r="M22" s="97"/>
      <c r="N22" s="94"/>
    </row>
    <row r="23" spans="1:14" x14ac:dyDescent="0.25">
      <c r="A23" s="88">
        <v>18</v>
      </c>
      <c r="B23" s="98">
        <f>'Plot By Plot SoA'!C133</f>
        <v>110</v>
      </c>
      <c r="C23" s="90">
        <f>'Plot By Plot SoA'!D133</f>
        <v>72.900000000000006</v>
      </c>
      <c r="D23" s="127">
        <f>'Plot By Plot SoA'!E133</f>
        <v>784.68831</v>
      </c>
      <c r="E23" s="90"/>
      <c r="F23" s="97"/>
      <c r="G23" s="97">
        <f>'Plot By Plot SoA'!I133</f>
        <v>0</v>
      </c>
      <c r="H23" s="93"/>
      <c r="I23" s="94"/>
      <c r="J23" s="99"/>
      <c r="K23" s="92" t="str">
        <f>'Plot By Plot SoA'!M133</f>
        <v>Y</v>
      </c>
      <c r="L23" s="97"/>
      <c r="M23" s="97"/>
      <c r="N23" s="94"/>
    </row>
    <row r="24" spans="1:14" x14ac:dyDescent="0.25">
      <c r="A24" s="88">
        <v>19</v>
      </c>
      <c r="B24" s="98">
        <f>'Plot By Plot SoA'!C135</f>
        <v>112</v>
      </c>
      <c r="C24" s="90">
        <f>'Plot By Plot SoA'!D135</f>
        <v>100.4</v>
      </c>
      <c r="D24" s="127">
        <f>'Plot By Plot SoA'!E135</f>
        <v>1080.6955600000001</v>
      </c>
      <c r="E24" s="90"/>
      <c r="F24" s="97"/>
      <c r="G24" s="97">
        <f>'Plot By Plot SoA'!I135</f>
        <v>0</v>
      </c>
      <c r="H24" s="93"/>
      <c r="I24" s="94"/>
      <c r="J24" s="99"/>
      <c r="K24" s="92">
        <f>'Plot By Plot SoA'!M135</f>
        <v>0</v>
      </c>
      <c r="L24" s="97"/>
      <c r="M24" s="97"/>
      <c r="N24" s="94"/>
    </row>
    <row r="25" spans="1:14" x14ac:dyDescent="0.25">
      <c r="A25" s="88">
        <v>20</v>
      </c>
      <c r="B25" s="98">
        <f>'Plot By Plot SoA'!C138</f>
        <v>114</v>
      </c>
      <c r="C25" s="90">
        <f>'Plot By Plot SoA'!D138</f>
        <v>100.4</v>
      </c>
      <c r="D25" s="127">
        <f>'Plot By Plot SoA'!E138</f>
        <v>1080.6955600000001</v>
      </c>
      <c r="E25" s="90"/>
      <c r="F25" s="97"/>
      <c r="G25" s="97">
        <f>'Plot By Plot SoA'!I138</f>
        <v>0</v>
      </c>
      <c r="H25" s="93"/>
      <c r="I25" s="94"/>
      <c r="J25" s="99"/>
      <c r="K25" s="92">
        <f>'Plot By Plot SoA'!M138</f>
        <v>0</v>
      </c>
      <c r="L25" s="97"/>
      <c r="M25" s="97"/>
      <c r="N25" s="94"/>
    </row>
    <row r="26" spans="1:14" x14ac:dyDescent="0.25">
      <c r="A26" s="88">
        <v>21</v>
      </c>
      <c r="B26" s="98">
        <f>'Plot By Plot SoA'!C140</f>
        <v>116</v>
      </c>
      <c r="C26" s="90">
        <f>'Plot By Plot SoA'!D140</f>
        <v>87.7</v>
      </c>
      <c r="D26" s="127">
        <f>'Plot By Plot SoA'!E140</f>
        <v>943.99402999999995</v>
      </c>
      <c r="E26" s="90"/>
      <c r="F26" s="97"/>
      <c r="G26" s="97">
        <f>'Plot By Plot SoA'!I140</f>
        <v>0</v>
      </c>
      <c r="H26" s="93"/>
      <c r="I26" s="94"/>
      <c r="J26" s="99"/>
      <c r="K26" s="92" t="str">
        <f>'Plot By Plot SoA'!M140</f>
        <v>Y</v>
      </c>
      <c r="L26" s="97"/>
      <c r="M26" s="97"/>
      <c r="N26" s="94"/>
    </row>
    <row r="27" spans="1:14" x14ac:dyDescent="0.25">
      <c r="A27" s="88">
        <v>22</v>
      </c>
      <c r="B27" s="98">
        <f>'Plot By Plot SoA'!C143</f>
        <v>118</v>
      </c>
      <c r="C27" s="90">
        <f>'Plot By Plot SoA'!D143</f>
        <v>95</v>
      </c>
      <c r="D27" s="127">
        <f>'Plot By Plot SoA'!E143</f>
        <v>1022.5704999999999</v>
      </c>
      <c r="E27" s="90"/>
      <c r="F27" s="97"/>
      <c r="G27" s="97"/>
      <c r="H27" s="93">
        <f>'Plot By Plot SoA'!J143</f>
        <v>0</v>
      </c>
      <c r="I27" s="94"/>
      <c r="J27" s="99">
        <f>'Plot By Plot SoA'!L143</f>
        <v>0</v>
      </c>
      <c r="K27" s="92"/>
      <c r="L27" s="97"/>
      <c r="M27" s="97"/>
      <c r="N27" s="94"/>
    </row>
    <row r="28" spans="1:14" x14ac:dyDescent="0.25">
      <c r="A28" s="88">
        <v>23</v>
      </c>
      <c r="B28" s="98">
        <f>'Plot By Plot SoA'!C144</f>
        <v>119</v>
      </c>
      <c r="C28" s="90">
        <f>'Plot By Plot SoA'!D144</f>
        <v>95</v>
      </c>
      <c r="D28" s="127">
        <f>'Plot By Plot SoA'!E144</f>
        <v>1022.5704999999999</v>
      </c>
      <c r="E28" s="90"/>
      <c r="F28" s="97"/>
      <c r="G28" s="97"/>
      <c r="H28" s="93">
        <f>'Plot By Plot SoA'!J144</f>
        <v>0</v>
      </c>
      <c r="I28" s="94"/>
      <c r="J28" s="99">
        <f>'Plot By Plot SoA'!L144</f>
        <v>0</v>
      </c>
      <c r="K28" s="92"/>
      <c r="L28" s="97"/>
      <c r="M28" s="97"/>
      <c r="N28" s="94"/>
    </row>
    <row r="29" spans="1:14" x14ac:dyDescent="0.25">
      <c r="A29" s="88">
        <v>24</v>
      </c>
      <c r="B29" s="98">
        <f>'Plot By Plot SoA'!C145</f>
        <v>120</v>
      </c>
      <c r="C29" s="90">
        <f>'Plot By Plot SoA'!D145</f>
        <v>83.1</v>
      </c>
      <c r="D29" s="127">
        <f>'Plot By Plot SoA'!E145</f>
        <v>894.4800899999999</v>
      </c>
      <c r="E29" s="90"/>
      <c r="F29" s="97"/>
      <c r="G29" s="97">
        <f>'Plot By Plot SoA'!I145</f>
        <v>0</v>
      </c>
      <c r="H29" s="93"/>
      <c r="I29" s="94"/>
      <c r="J29" s="99"/>
      <c r="K29" s="92">
        <f>'Plot By Plot SoA'!M145</f>
        <v>0</v>
      </c>
      <c r="L29" s="97"/>
      <c r="M29" s="97"/>
      <c r="N29" s="94"/>
    </row>
    <row r="30" spans="1:14" x14ac:dyDescent="0.25">
      <c r="A30" s="88">
        <v>25</v>
      </c>
      <c r="B30" s="98">
        <f>'Plot By Plot SoA'!C148</f>
        <v>122</v>
      </c>
      <c r="C30" s="90">
        <f>'Plot By Plot SoA'!D148</f>
        <v>77.5</v>
      </c>
      <c r="D30" s="127">
        <f>'Plot By Plot SoA'!E148</f>
        <v>834.20224999999994</v>
      </c>
      <c r="E30" s="90"/>
      <c r="F30" s="97"/>
      <c r="G30" s="97">
        <f>'Plot By Plot SoA'!I148</f>
        <v>0</v>
      </c>
      <c r="H30" s="93"/>
      <c r="I30" s="94"/>
      <c r="J30" s="99"/>
      <c r="K30" s="92" t="str">
        <f>'Plot By Plot SoA'!M148</f>
        <v>Y</v>
      </c>
      <c r="L30" s="97"/>
      <c r="M30" s="97"/>
      <c r="N30" s="94"/>
    </row>
    <row r="31" spans="1:14" x14ac:dyDescent="0.25">
      <c r="A31" s="88">
        <v>26</v>
      </c>
      <c r="B31" s="98">
        <f>'Plot By Plot SoA'!C150</f>
        <v>124</v>
      </c>
      <c r="C31" s="90">
        <f>'Plot By Plot SoA'!D150</f>
        <v>99</v>
      </c>
      <c r="D31" s="127">
        <f>'Plot By Plot SoA'!E150</f>
        <v>1065.6261</v>
      </c>
      <c r="E31" s="90"/>
      <c r="F31" s="97"/>
      <c r="G31" s="97">
        <f>'Plot By Plot SoA'!I150</f>
        <v>0</v>
      </c>
      <c r="H31" s="93"/>
      <c r="I31" s="94"/>
      <c r="J31" s="99"/>
      <c r="K31" s="92" t="str">
        <f>'Plot By Plot SoA'!M150</f>
        <v>Y</v>
      </c>
      <c r="L31" s="97"/>
      <c r="M31" s="97"/>
      <c r="N31" s="94"/>
    </row>
    <row r="32" spans="1:14" x14ac:dyDescent="0.25">
      <c r="A32" s="88">
        <v>27</v>
      </c>
      <c r="B32" s="98">
        <f>'Plot By Plot SoA'!C152</f>
        <v>126</v>
      </c>
      <c r="C32" s="90">
        <f>'Plot By Plot SoA'!D152</f>
        <v>75.3</v>
      </c>
      <c r="D32" s="127">
        <f>'Plot By Plot SoA'!E152</f>
        <v>810.52166999999997</v>
      </c>
      <c r="E32" s="90"/>
      <c r="F32" s="97"/>
      <c r="G32" s="97">
        <f>'Plot By Plot SoA'!I152</f>
        <v>0</v>
      </c>
      <c r="H32" s="93"/>
      <c r="I32" s="94"/>
      <c r="J32" s="99"/>
      <c r="K32" s="92" t="str">
        <f>'Plot By Plot SoA'!M152</f>
        <v>Y</v>
      </c>
      <c r="L32" s="97"/>
      <c r="M32" s="97"/>
      <c r="N32" s="94"/>
    </row>
    <row r="33" spans="1:14" x14ac:dyDescent="0.25">
      <c r="A33" s="88">
        <v>28</v>
      </c>
      <c r="B33" s="98">
        <f>'Plot By Plot SoA'!C154</f>
        <v>128</v>
      </c>
      <c r="C33" s="90">
        <f>'Plot By Plot SoA'!D154</f>
        <v>70.599999999999994</v>
      </c>
      <c r="D33" s="127">
        <f>'Plot By Plot SoA'!E154</f>
        <v>759.93133999999986</v>
      </c>
      <c r="E33" s="90"/>
      <c r="F33" s="97"/>
      <c r="G33" s="97">
        <f>'Plot By Plot SoA'!I154</f>
        <v>0</v>
      </c>
      <c r="H33" s="93"/>
      <c r="I33" s="94"/>
      <c r="J33" s="99"/>
      <c r="K33" s="92" t="str">
        <f>'Plot By Plot SoA'!M154</f>
        <v>Y</v>
      </c>
      <c r="L33" s="97"/>
      <c r="M33" s="97"/>
      <c r="N33" s="94"/>
    </row>
    <row r="34" spans="1:14" x14ac:dyDescent="0.25">
      <c r="A34" s="88">
        <v>29</v>
      </c>
      <c r="B34" s="98">
        <f>'Plot By Plot SoA'!C156</f>
        <v>130</v>
      </c>
      <c r="C34" s="90">
        <f>'Plot By Plot SoA'!D156</f>
        <v>108.2</v>
      </c>
      <c r="D34" s="127">
        <f>'Plot By Plot SoA'!E156</f>
        <v>1164.65398</v>
      </c>
      <c r="E34" s="90"/>
      <c r="F34" s="97"/>
      <c r="G34" s="97">
        <f>'Plot By Plot SoA'!I156</f>
        <v>0</v>
      </c>
      <c r="H34" s="93"/>
      <c r="I34" s="94"/>
      <c r="J34" s="99"/>
      <c r="K34" s="92">
        <f>'Plot By Plot SoA'!M156</f>
        <v>0</v>
      </c>
      <c r="L34" s="97"/>
      <c r="M34" s="97"/>
      <c r="N34" s="94"/>
    </row>
    <row r="35" spans="1:14" x14ac:dyDescent="0.25">
      <c r="A35" s="88">
        <v>30</v>
      </c>
      <c r="B35" s="98">
        <f>'Plot By Plot SoA'!C160</f>
        <v>132</v>
      </c>
      <c r="C35" s="90">
        <f>'Plot By Plot SoA'!D160</f>
        <v>72.599999999999994</v>
      </c>
      <c r="D35" s="127">
        <f>'Plot By Plot SoA'!E160</f>
        <v>781.45913999999993</v>
      </c>
      <c r="E35" s="90"/>
      <c r="F35" s="97"/>
      <c r="G35" s="97">
        <f>'Plot By Plot SoA'!I160</f>
        <v>0</v>
      </c>
      <c r="H35" s="93"/>
      <c r="I35" s="94"/>
      <c r="J35" s="99"/>
      <c r="K35" s="92" t="str">
        <f>'Plot By Plot SoA'!M160</f>
        <v>Y</v>
      </c>
      <c r="L35" s="97"/>
      <c r="M35" s="97"/>
      <c r="N35" s="94"/>
    </row>
    <row r="36" spans="1:14" x14ac:dyDescent="0.25">
      <c r="A36" s="88">
        <v>31</v>
      </c>
      <c r="B36" s="98">
        <f>'Plot By Plot SoA'!C163</f>
        <v>134</v>
      </c>
      <c r="C36" s="90">
        <f>'Plot By Plot SoA'!D163</f>
        <v>97.1</v>
      </c>
      <c r="D36" s="127">
        <f>'Plot By Plot SoA'!E163</f>
        <v>1045.1746899999998</v>
      </c>
      <c r="E36" s="90"/>
      <c r="F36" s="97"/>
      <c r="G36" s="97">
        <f>'Plot By Plot SoA'!I163</f>
        <v>0</v>
      </c>
      <c r="H36" s="93"/>
      <c r="I36" s="94"/>
      <c r="J36" s="99"/>
      <c r="K36" s="92">
        <f>'Plot By Plot SoA'!M163</f>
        <v>0</v>
      </c>
      <c r="L36" s="97"/>
      <c r="M36" s="97"/>
      <c r="N36" s="94"/>
    </row>
    <row r="37" spans="1:14" x14ac:dyDescent="0.25">
      <c r="A37" s="88">
        <v>32</v>
      </c>
      <c r="B37" s="98">
        <f>'Plot By Plot SoA'!C166</f>
        <v>136</v>
      </c>
      <c r="C37" s="90">
        <f>'Plot By Plot SoA'!D166</f>
        <v>88.5</v>
      </c>
      <c r="D37" s="127">
        <f>'Plot By Plot SoA'!E166</f>
        <v>952.60514999999998</v>
      </c>
      <c r="E37" s="90"/>
      <c r="F37" s="97"/>
      <c r="G37" s="97">
        <f>'Plot By Plot SoA'!I166</f>
        <v>0</v>
      </c>
      <c r="H37" s="93"/>
      <c r="I37" s="94"/>
      <c r="J37" s="99"/>
      <c r="K37" s="92">
        <f>'Plot By Plot SoA'!M166</f>
        <v>0</v>
      </c>
      <c r="L37" s="97"/>
      <c r="M37" s="97"/>
      <c r="N37" s="94"/>
    </row>
    <row r="38" spans="1:14" x14ac:dyDescent="0.25">
      <c r="A38" s="88">
        <v>33</v>
      </c>
      <c r="B38" s="98">
        <f>'Plot By Plot SoA'!C168</f>
        <v>138</v>
      </c>
      <c r="C38" s="90">
        <f>'Plot By Plot SoA'!D168</f>
        <v>90.7</v>
      </c>
      <c r="D38" s="127">
        <f>'Plot By Plot SoA'!E168</f>
        <v>976.28572999999994</v>
      </c>
      <c r="E38" s="90"/>
      <c r="F38" s="97"/>
      <c r="G38" s="97">
        <f>'Plot By Plot SoA'!I168</f>
        <v>0</v>
      </c>
      <c r="H38" s="93"/>
      <c r="I38" s="94"/>
      <c r="J38" s="99"/>
      <c r="K38" s="92" t="str">
        <f>'Plot By Plot SoA'!M168</f>
        <v>Y</v>
      </c>
      <c r="L38" s="97"/>
      <c r="M38" s="97"/>
      <c r="N38" s="94"/>
    </row>
    <row r="39" spans="1:14" x14ac:dyDescent="0.25">
      <c r="A39" s="88">
        <v>34</v>
      </c>
      <c r="B39" s="98">
        <f>'Plot By Plot SoA'!C170</f>
        <v>140</v>
      </c>
      <c r="C39" s="90">
        <f>'Plot By Plot SoA'!D170</f>
        <v>87.6</v>
      </c>
      <c r="D39" s="127">
        <f>'Plot By Plot SoA'!E170</f>
        <v>942.91763999999989</v>
      </c>
      <c r="E39" s="90"/>
      <c r="F39" s="97">
        <f>'Plot By Plot SoA'!H170</f>
        <v>0</v>
      </c>
      <c r="G39" s="97"/>
      <c r="H39" s="93"/>
      <c r="I39" s="94"/>
      <c r="J39" s="99"/>
      <c r="K39" s="92" t="str">
        <f>'Plot By Plot SoA'!M170</f>
        <v>Y</v>
      </c>
      <c r="L39" s="97"/>
      <c r="M39" s="97"/>
      <c r="N39" s="94"/>
    </row>
    <row r="40" spans="1:14" ht="15.75" thickBot="1" x14ac:dyDescent="0.3">
      <c r="A40" s="101">
        <v>35</v>
      </c>
      <c r="B40" s="102">
        <f>'Plot By Plot SoA'!C171</f>
        <v>141</v>
      </c>
      <c r="C40" s="103">
        <f>'Plot By Plot SoA'!D171</f>
        <v>97.3</v>
      </c>
      <c r="D40" s="129">
        <f>'Plot By Plot SoA'!E171</f>
        <v>1047.3274699999999</v>
      </c>
      <c r="E40" s="103"/>
      <c r="F40" s="109">
        <f>'Plot By Plot SoA'!H171</f>
        <v>0</v>
      </c>
      <c r="G40" s="109"/>
      <c r="H40" s="106"/>
      <c r="I40" s="94"/>
      <c r="J40" s="108"/>
      <c r="K40" s="128">
        <f>'Plot By Plot SoA'!M171</f>
        <v>0</v>
      </c>
      <c r="L40" s="109"/>
      <c r="M40" s="109"/>
      <c r="N40" s="94"/>
    </row>
    <row r="41" spans="1:14" ht="45.75" thickBot="1" x14ac:dyDescent="0.3">
      <c r="A41" s="981"/>
      <c r="B41" s="69" t="s">
        <v>5</v>
      </c>
      <c r="C41" s="66"/>
      <c r="D41" s="67"/>
      <c r="E41" s="12">
        <f>COUNTA(E6:E40)</f>
        <v>0</v>
      </c>
      <c r="F41" s="12">
        <f>COUNTA(F6:F40)</f>
        <v>2</v>
      </c>
      <c r="G41" s="12">
        <f>COUNTA(G6:G40)</f>
        <v>21</v>
      </c>
      <c r="H41" s="12">
        <f>COUNTA(H6:H40)</f>
        <v>12</v>
      </c>
      <c r="I41" s="123"/>
      <c r="J41" s="122">
        <f>COUNTA(J6:J40)</f>
        <v>12</v>
      </c>
      <c r="K41" s="16">
        <f>COUNTA(K6:K40)</f>
        <v>23</v>
      </c>
      <c r="L41" s="16">
        <f>COUNTA(L6:L40)</f>
        <v>0</v>
      </c>
      <c r="M41" s="16">
        <f>COUNTA(M6:M40)</f>
        <v>0</v>
      </c>
      <c r="N41" s="124">
        <f>COUNTA(N6:N40)</f>
        <v>0</v>
      </c>
    </row>
    <row r="42" spans="1:14" ht="30.75" thickBot="1" x14ac:dyDescent="0.3">
      <c r="A42" s="982"/>
      <c r="B42" s="70" t="s">
        <v>6</v>
      </c>
      <c r="C42" s="972">
        <f>SUM(C18:C40)</f>
        <v>2068.7999999999997</v>
      </c>
      <c r="D42" s="973"/>
      <c r="E42" s="973"/>
      <c r="F42" s="973"/>
      <c r="G42" s="973"/>
      <c r="H42" s="973"/>
      <c r="I42" s="974"/>
      <c r="J42" s="72">
        <f>SUM(1/J43*J41)</f>
        <v>0.34285714285714286</v>
      </c>
      <c r="K42" s="73">
        <f>SUM(1/J43*K41)</f>
        <v>0.65714285714285714</v>
      </c>
      <c r="L42" s="73">
        <f>SUM(1/J43*L41)</f>
        <v>0</v>
      </c>
      <c r="M42" s="73">
        <f>SUM(1/J43*M41)</f>
        <v>0</v>
      </c>
      <c r="N42" s="74">
        <f>SUM(1/J43*N41)</f>
        <v>0</v>
      </c>
    </row>
    <row r="43" spans="1:14" ht="45.75" thickBot="1" x14ac:dyDescent="0.3">
      <c r="A43" s="983"/>
      <c r="B43" s="71" t="s">
        <v>8</v>
      </c>
      <c r="C43" s="774">
        <f>SUM(C42*10.7639)</f>
        <v>22268.356319999995</v>
      </c>
      <c r="D43" s="775"/>
      <c r="E43" s="775"/>
      <c r="F43" s="775"/>
      <c r="G43" s="775"/>
      <c r="H43" s="775"/>
      <c r="I43" s="776"/>
      <c r="J43" s="975">
        <f>SUM(J41:N41)</f>
        <v>35</v>
      </c>
      <c r="K43" s="976"/>
      <c r="L43" s="976"/>
      <c r="M43" s="976"/>
      <c r="N43" s="977"/>
    </row>
  </sheetData>
  <mergeCells count="17">
    <mergeCell ref="A1:A2"/>
    <mergeCell ref="B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N4"/>
    <mergeCell ref="A41:A43"/>
    <mergeCell ref="C42:I42"/>
    <mergeCell ref="C43:I43"/>
    <mergeCell ref="J43:N43"/>
    <mergeCell ref="P5:T5"/>
  </mergeCells>
  <pageMargins left="0.7" right="0.7" top="0.75" bottom="0.75" header="0.3" footer="0.3"/>
  <pageSetup paperSize="8" scale="69" fitToHeight="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EDD0-9717-44D6-9149-091904CE8802}">
  <sheetPr>
    <pageSetUpPr fitToPage="1"/>
  </sheetPr>
  <dimension ref="A1:T92"/>
  <sheetViews>
    <sheetView topLeftCell="A63" workbookViewId="0">
      <selection activeCell="I25" sqref="I25"/>
    </sheetView>
  </sheetViews>
  <sheetFormatPr defaultRowHeight="15" x14ac:dyDescent="0.25"/>
  <cols>
    <col min="1" max="1" width="12.42578125" bestFit="1" customWidth="1"/>
    <col min="6" max="6" width="12.140625" customWidth="1"/>
    <col min="17" max="17" width="10.5703125" customWidth="1"/>
  </cols>
  <sheetData>
    <row r="1" spans="1:20" x14ac:dyDescent="0.25">
      <c r="A1" s="889"/>
      <c r="B1" s="882" t="s">
        <v>38</v>
      </c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3"/>
    </row>
    <row r="2" spans="1:20" ht="15.75" thickBot="1" x14ac:dyDescent="0.3">
      <c r="A2" s="890"/>
      <c r="B2" s="883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5"/>
    </row>
    <row r="3" spans="1:20" x14ac:dyDescent="0.25">
      <c r="A3" s="890"/>
      <c r="B3" s="892" t="s">
        <v>0</v>
      </c>
      <c r="C3" s="712" t="s">
        <v>4</v>
      </c>
      <c r="D3" s="986" t="s">
        <v>19</v>
      </c>
      <c r="E3" s="720" t="s">
        <v>16</v>
      </c>
      <c r="F3" s="720" t="s">
        <v>3</v>
      </c>
      <c r="G3" s="720" t="s">
        <v>17</v>
      </c>
      <c r="H3" s="722" t="s">
        <v>18</v>
      </c>
      <c r="I3" s="984" t="s">
        <v>1</v>
      </c>
      <c r="J3" s="884" t="s">
        <v>2</v>
      </c>
      <c r="K3" s="714"/>
      <c r="L3" s="714"/>
      <c r="M3" s="714"/>
      <c r="N3" s="715"/>
    </row>
    <row r="4" spans="1:20" ht="15.75" thickBot="1" x14ac:dyDescent="0.3">
      <c r="A4" s="891"/>
      <c r="B4" s="893"/>
      <c r="C4" s="713"/>
      <c r="D4" s="987"/>
      <c r="E4" s="721"/>
      <c r="F4" s="721"/>
      <c r="G4" s="721"/>
      <c r="H4" s="723"/>
      <c r="I4" s="985"/>
      <c r="J4" s="885"/>
      <c r="K4" s="716"/>
      <c r="L4" s="716"/>
      <c r="M4" s="716"/>
      <c r="N4" s="717"/>
    </row>
    <row r="5" spans="1:20" ht="15.75" thickTop="1" x14ac:dyDescent="0.25">
      <c r="A5" s="76" t="s">
        <v>47</v>
      </c>
      <c r="B5" s="75"/>
      <c r="C5" s="84"/>
      <c r="D5" s="86"/>
      <c r="E5" s="85"/>
      <c r="F5" s="83"/>
      <c r="G5" s="83"/>
      <c r="H5" s="82"/>
      <c r="I5" s="77"/>
      <c r="J5" s="78">
        <v>1</v>
      </c>
      <c r="K5" s="79">
        <v>2</v>
      </c>
      <c r="L5" s="79">
        <v>3</v>
      </c>
      <c r="M5" s="81">
        <v>4</v>
      </c>
      <c r="N5" s="80">
        <v>5</v>
      </c>
      <c r="P5" s="978" t="s">
        <v>62</v>
      </c>
      <c r="Q5" s="979"/>
      <c r="R5" s="979"/>
      <c r="S5" s="979"/>
      <c r="T5" s="980"/>
    </row>
    <row r="6" spans="1:20" s="30" customFormat="1" x14ac:dyDescent="0.35">
      <c r="A6" s="110">
        <v>1</v>
      </c>
      <c r="B6" s="126">
        <f>'Plot By Plot SoA'!C98</f>
        <v>85</v>
      </c>
      <c r="C6" s="125">
        <f>'Plot By Plot SoA'!D98</f>
        <v>78</v>
      </c>
      <c r="D6" s="114">
        <f>'Plot By Plot SoA'!E98</f>
        <v>839.58420000000001</v>
      </c>
      <c r="E6" s="125"/>
      <c r="F6" s="111"/>
      <c r="G6" s="128"/>
      <c r="H6" s="111">
        <f>'Plot By Plot SoA'!J98</f>
        <v>0</v>
      </c>
      <c r="I6" s="113"/>
      <c r="J6" s="95">
        <f>'Plot By Plot SoA'!L98</f>
        <v>0</v>
      </c>
      <c r="K6" s="96"/>
      <c r="L6" s="128"/>
      <c r="M6" s="160"/>
      <c r="N6" s="161"/>
      <c r="P6" s="189"/>
      <c r="Q6" s="184" t="s">
        <v>57</v>
      </c>
      <c r="R6" s="184" t="s">
        <v>58</v>
      </c>
      <c r="S6" s="185" t="s">
        <v>59</v>
      </c>
      <c r="T6" s="188" t="s">
        <v>55</v>
      </c>
    </row>
    <row r="7" spans="1:20" s="30" customFormat="1" x14ac:dyDescent="0.35">
      <c r="A7" s="88">
        <v>2</v>
      </c>
      <c r="B7" s="93">
        <f>'Plot By Plot SoA'!C99</f>
        <v>86</v>
      </c>
      <c r="C7" s="90">
        <f>'Plot By Plot SoA'!D99</f>
        <v>78</v>
      </c>
      <c r="D7" s="127">
        <f>'Plot By Plot SoA'!E99</f>
        <v>839.58420000000001</v>
      </c>
      <c r="E7" s="90"/>
      <c r="F7" s="97"/>
      <c r="G7" s="97"/>
      <c r="H7" s="97">
        <f>'Plot By Plot SoA'!J99</f>
        <v>0</v>
      </c>
      <c r="I7" s="94"/>
      <c r="J7" s="99">
        <f>'Plot By Plot SoA'!L99</f>
        <v>0</v>
      </c>
      <c r="K7" s="97"/>
      <c r="L7" s="92"/>
      <c r="M7" s="92"/>
      <c r="N7" s="94"/>
      <c r="P7" s="180" t="s">
        <v>29</v>
      </c>
      <c r="Q7" s="128">
        <v>0</v>
      </c>
      <c r="R7" s="128">
        <v>0</v>
      </c>
      <c r="S7" s="93">
        <v>12</v>
      </c>
      <c r="T7" s="94">
        <f>SUM(Q7:S7)</f>
        <v>12</v>
      </c>
    </row>
    <row r="8" spans="1:20" s="30" customFormat="1" x14ac:dyDescent="0.35">
      <c r="A8" s="88">
        <v>3</v>
      </c>
      <c r="B8" s="93">
        <f>'Plot By Plot SoA'!C100</f>
        <v>87</v>
      </c>
      <c r="C8" s="90">
        <f>'Plot By Plot SoA'!D100</f>
        <v>99.1</v>
      </c>
      <c r="D8" s="127">
        <f>'Plot By Plot SoA'!E100</f>
        <v>1066.7024899999999</v>
      </c>
      <c r="E8" s="90"/>
      <c r="F8" s="97"/>
      <c r="G8" s="97"/>
      <c r="H8" s="97">
        <f>'Plot By Plot SoA'!J100</f>
        <v>0</v>
      </c>
      <c r="I8" s="94"/>
      <c r="J8" s="99">
        <f>'Plot By Plot SoA'!L100</f>
        <v>0</v>
      </c>
      <c r="K8" s="97"/>
      <c r="L8" s="92"/>
      <c r="M8" s="92"/>
      <c r="N8" s="94"/>
      <c r="P8" s="180" t="s">
        <v>30</v>
      </c>
      <c r="Q8" s="128">
        <v>0</v>
      </c>
      <c r="R8" s="128">
        <v>21</v>
      </c>
      <c r="S8" s="93">
        <v>0</v>
      </c>
      <c r="T8" s="94">
        <f>SUM(Q8:S8)</f>
        <v>21</v>
      </c>
    </row>
    <row r="9" spans="1:20" s="30" customFormat="1" ht="15.75" thickBot="1" x14ac:dyDescent="0.4">
      <c r="A9" s="88">
        <v>4</v>
      </c>
      <c r="B9" s="93">
        <f>'Plot By Plot SoA'!C102</f>
        <v>88</v>
      </c>
      <c r="C9" s="90">
        <f>'Plot By Plot SoA'!D102</f>
        <v>131.4</v>
      </c>
      <c r="D9" s="127">
        <f>'Plot By Plot SoA'!E102</f>
        <v>1414.37646</v>
      </c>
      <c r="E9" s="90"/>
      <c r="F9" s="97"/>
      <c r="G9" s="97"/>
      <c r="H9" s="97">
        <f>'Plot By Plot SoA'!J102</f>
        <v>0</v>
      </c>
      <c r="I9" s="94"/>
      <c r="J9" s="99">
        <f>'Plot By Plot SoA'!L102</f>
        <v>0</v>
      </c>
      <c r="K9" s="97"/>
      <c r="L9" s="92"/>
      <c r="M9" s="92"/>
      <c r="N9" s="94"/>
      <c r="P9" s="190" t="s">
        <v>31</v>
      </c>
      <c r="Q9" s="186">
        <v>0</v>
      </c>
      <c r="R9" s="186">
        <v>0</v>
      </c>
      <c r="S9" s="187">
        <v>0</v>
      </c>
      <c r="T9" s="94">
        <f>SUM(Q9:S9)</f>
        <v>0</v>
      </c>
    </row>
    <row r="10" spans="1:20" s="30" customFormat="1" ht="15.75" thickBot="1" x14ac:dyDescent="0.4">
      <c r="A10" s="88">
        <v>5</v>
      </c>
      <c r="B10" s="93">
        <f>'Plot By Plot SoA'!C104</f>
        <v>89</v>
      </c>
      <c r="C10" s="90">
        <f>'Plot By Plot SoA'!D104</f>
        <v>131.4</v>
      </c>
      <c r="D10" s="127">
        <f>'Plot By Plot SoA'!E104</f>
        <v>1414.37646</v>
      </c>
      <c r="E10" s="90"/>
      <c r="F10" s="97"/>
      <c r="G10" s="97"/>
      <c r="H10" s="97">
        <f>'Plot By Plot SoA'!J104</f>
        <v>0</v>
      </c>
      <c r="I10" s="94"/>
      <c r="J10" s="99">
        <f>'Plot By Plot SoA'!L104</f>
        <v>0</v>
      </c>
      <c r="K10" s="97"/>
      <c r="L10" s="92"/>
      <c r="M10" s="92"/>
      <c r="N10" s="94"/>
      <c r="P10" s="181" t="s">
        <v>55</v>
      </c>
      <c r="Q10" s="179">
        <f>SUM(Q7:Q9)</f>
        <v>0</v>
      </c>
      <c r="R10" s="179">
        <f>SUM(R7:R9)</f>
        <v>21</v>
      </c>
      <c r="S10" s="179">
        <f>SUM(S7:S9)</f>
        <v>12</v>
      </c>
      <c r="T10" s="178">
        <f>SUM(Q10:S10)</f>
        <v>33</v>
      </c>
    </row>
    <row r="11" spans="1:20" s="30" customFormat="1" x14ac:dyDescent="0.35">
      <c r="A11" s="88">
        <v>6</v>
      </c>
      <c r="B11" s="93">
        <f>'Plot By Plot SoA'!C105</f>
        <v>90</v>
      </c>
      <c r="C11" s="90">
        <f>'Plot By Plot SoA'!D105</f>
        <v>77.099999999999994</v>
      </c>
      <c r="D11" s="127">
        <f>'Plot By Plot SoA'!E105</f>
        <v>829.89668999999992</v>
      </c>
      <c r="E11" s="90"/>
      <c r="F11" s="97"/>
      <c r="G11" s="97"/>
      <c r="H11" s="97">
        <f>'Plot By Plot SoA'!J105</f>
        <v>0</v>
      </c>
      <c r="I11" s="94"/>
      <c r="J11" s="99">
        <f>'Plot By Plot SoA'!L105</f>
        <v>0</v>
      </c>
      <c r="K11" s="97"/>
      <c r="L11" s="92"/>
      <c r="M11" s="92"/>
      <c r="N11" s="94"/>
    </row>
    <row r="12" spans="1:20" s="30" customFormat="1" x14ac:dyDescent="0.35">
      <c r="A12" s="88">
        <v>7</v>
      </c>
      <c r="B12" s="93">
        <f>'Plot By Plot SoA'!C106</f>
        <v>91</v>
      </c>
      <c r="C12" s="90">
        <f>'Plot By Plot SoA'!D106</f>
        <v>70</v>
      </c>
      <c r="D12" s="127">
        <f>'Plot By Plot SoA'!E106</f>
        <v>753.47299999999996</v>
      </c>
      <c r="E12" s="90"/>
      <c r="F12" s="97"/>
      <c r="G12" s="97"/>
      <c r="H12" s="97">
        <f>'Plot By Plot SoA'!J106</f>
        <v>0</v>
      </c>
      <c r="I12" s="94"/>
      <c r="J12" s="99">
        <f>'Plot By Plot SoA'!L106</f>
        <v>0</v>
      </c>
      <c r="K12" s="97"/>
      <c r="L12" s="92"/>
      <c r="M12" s="92"/>
      <c r="N12" s="94"/>
    </row>
    <row r="13" spans="1:20" s="30" customFormat="1" x14ac:dyDescent="0.35">
      <c r="A13" s="88">
        <v>8</v>
      </c>
      <c r="B13" s="93">
        <f>'Plot By Plot SoA'!C107</f>
        <v>92</v>
      </c>
      <c r="C13" s="90">
        <f>'Plot By Plot SoA'!D107</f>
        <v>70</v>
      </c>
      <c r="D13" s="127">
        <f>'Plot By Plot SoA'!E107</f>
        <v>753.47299999999996</v>
      </c>
      <c r="E13" s="90"/>
      <c r="F13" s="97"/>
      <c r="G13" s="97"/>
      <c r="H13" s="97">
        <f>'Plot By Plot SoA'!J107</f>
        <v>0</v>
      </c>
      <c r="I13" s="94"/>
      <c r="J13" s="99">
        <f>'Plot By Plot SoA'!L107</f>
        <v>0</v>
      </c>
      <c r="K13" s="97"/>
      <c r="L13" s="92"/>
      <c r="M13" s="92"/>
      <c r="N13" s="94"/>
    </row>
    <row r="14" spans="1:20" s="30" customFormat="1" x14ac:dyDescent="0.35">
      <c r="A14" s="88">
        <v>9</v>
      </c>
      <c r="B14" s="93">
        <f>'Plot By Plot SoA'!C108</f>
        <v>93</v>
      </c>
      <c r="C14" s="90">
        <f>'Plot By Plot SoA'!D108</f>
        <v>76.599999999999994</v>
      </c>
      <c r="D14" s="127">
        <f>'Plot By Plot SoA'!E108</f>
        <v>824.51473999999996</v>
      </c>
      <c r="E14" s="90"/>
      <c r="F14" s="97"/>
      <c r="G14" s="97"/>
      <c r="H14" s="97">
        <f>'Plot By Plot SoA'!J108</f>
        <v>0</v>
      </c>
      <c r="I14" s="94"/>
      <c r="J14" s="99">
        <f>'Plot By Plot SoA'!L108</f>
        <v>0</v>
      </c>
      <c r="K14" s="97"/>
      <c r="L14" s="92"/>
      <c r="M14" s="92"/>
      <c r="N14" s="94"/>
    </row>
    <row r="15" spans="1:20" s="30" customFormat="1" x14ac:dyDescent="0.35">
      <c r="A15" s="88">
        <v>10</v>
      </c>
      <c r="B15" s="93">
        <f>'Plot By Plot SoA'!C111</f>
        <v>95</v>
      </c>
      <c r="C15" s="90">
        <f>'Plot By Plot SoA'!D111</f>
        <v>80.3</v>
      </c>
      <c r="D15" s="127">
        <f>'Plot By Plot SoA'!E111</f>
        <v>864.34116999999992</v>
      </c>
      <c r="E15" s="90"/>
      <c r="F15" s="97"/>
      <c r="G15" s="97"/>
      <c r="H15" s="97">
        <f>'Plot By Plot SoA'!J111</f>
        <v>0</v>
      </c>
      <c r="I15" s="94"/>
      <c r="J15" s="99">
        <f>'Plot By Plot SoA'!L111</f>
        <v>0</v>
      </c>
      <c r="K15" s="97"/>
      <c r="L15" s="92"/>
      <c r="M15" s="92"/>
      <c r="N15" s="94"/>
    </row>
    <row r="16" spans="1:20" s="30" customFormat="1" x14ac:dyDescent="0.35">
      <c r="A16" s="88">
        <v>11</v>
      </c>
      <c r="B16" s="93">
        <f>'Plot By Plot SoA'!C112</f>
        <v>96</v>
      </c>
      <c r="C16" s="90">
        <f>'Plot By Plot SoA'!D112</f>
        <v>81</v>
      </c>
      <c r="D16" s="127">
        <f>'Plot By Plot SoA'!E112</f>
        <v>871.8759</v>
      </c>
      <c r="E16" s="90"/>
      <c r="F16" s="97"/>
      <c r="G16" s="97">
        <f>'Plot By Plot SoA'!I112</f>
        <v>0</v>
      </c>
      <c r="H16" s="97"/>
      <c r="I16" s="94"/>
      <c r="J16" s="99"/>
      <c r="K16" s="97">
        <f>'Plot By Plot SoA'!M112</f>
        <v>0</v>
      </c>
      <c r="L16" s="92"/>
      <c r="M16" s="92"/>
      <c r="N16" s="94"/>
    </row>
    <row r="17" spans="1:14" s="30" customFormat="1" x14ac:dyDescent="0.35">
      <c r="A17" s="88">
        <v>12</v>
      </c>
      <c r="B17" s="93">
        <f>'Plot By Plot SoA'!C117</f>
        <v>98</v>
      </c>
      <c r="C17" s="90">
        <f>'Plot By Plot SoA'!D117</f>
        <v>179.6</v>
      </c>
      <c r="D17" s="127">
        <f>'Plot By Plot SoA'!E117</f>
        <v>1933.1964399999999</v>
      </c>
      <c r="E17" s="90"/>
      <c r="F17" s="97"/>
      <c r="G17" s="97">
        <f>'Plot By Plot SoA'!I117</f>
        <v>0</v>
      </c>
      <c r="H17" s="97"/>
      <c r="I17" s="94"/>
      <c r="J17" s="99"/>
      <c r="K17" s="97">
        <f>'Plot By Plot SoA'!M117</f>
        <v>0</v>
      </c>
      <c r="L17" s="92"/>
      <c r="M17" s="92"/>
      <c r="N17" s="94"/>
    </row>
    <row r="18" spans="1:14" s="30" customFormat="1" x14ac:dyDescent="0.35">
      <c r="A18" s="88">
        <v>13</v>
      </c>
      <c r="B18" s="93">
        <f>'Plot By Plot SoA'!C121</f>
        <v>100</v>
      </c>
      <c r="C18" s="90">
        <f>'Plot By Plot SoA'!D121</f>
        <v>95</v>
      </c>
      <c r="D18" s="127">
        <f>'Plot By Plot SoA'!E121</f>
        <v>1022.5704999999999</v>
      </c>
      <c r="E18" s="90"/>
      <c r="F18" s="97"/>
      <c r="G18" s="97">
        <f>'Plot By Plot SoA'!I121</f>
        <v>0</v>
      </c>
      <c r="H18" s="97"/>
      <c r="I18" s="94"/>
      <c r="J18" s="99"/>
      <c r="K18" s="97" t="str">
        <f>'Plot By Plot SoA'!M121</f>
        <v>Y</v>
      </c>
      <c r="L18" s="92"/>
      <c r="M18" s="92"/>
      <c r="N18" s="94"/>
    </row>
    <row r="19" spans="1:14" s="30" customFormat="1" x14ac:dyDescent="0.35">
      <c r="A19" s="88">
        <v>14</v>
      </c>
      <c r="B19" s="93">
        <f>'Plot By Plot SoA'!C123</f>
        <v>102</v>
      </c>
      <c r="C19" s="90">
        <f>'Plot By Plot SoA'!D123</f>
        <v>83.1</v>
      </c>
      <c r="D19" s="127">
        <f>'Plot By Plot SoA'!E123</f>
        <v>894.4800899999999</v>
      </c>
      <c r="E19" s="90"/>
      <c r="F19" s="97"/>
      <c r="G19" s="97">
        <f>'Plot By Plot SoA'!I123</f>
        <v>0</v>
      </c>
      <c r="H19" s="97"/>
      <c r="I19" s="94"/>
      <c r="J19" s="99"/>
      <c r="K19" s="97">
        <f>'Plot By Plot SoA'!M123</f>
        <v>0</v>
      </c>
      <c r="L19" s="92"/>
      <c r="M19" s="92"/>
      <c r="N19" s="94"/>
    </row>
    <row r="20" spans="1:14" s="30" customFormat="1" x14ac:dyDescent="0.35">
      <c r="A20" s="88">
        <v>15</v>
      </c>
      <c r="B20" s="93">
        <f>'Plot By Plot SoA'!C126</f>
        <v>104</v>
      </c>
      <c r="C20" s="90">
        <f>'Plot By Plot SoA'!D126</f>
        <v>94.4</v>
      </c>
      <c r="D20" s="127">
        <f>'Plot By Plot SoA'!E126</f>
        <v>1016.11216</v>
      </c>
      <c r="E20" s="90"/>
      <c r="F20" s="97"/>
      <c r="G20" s="97">
        <f>'Plot By Plot SoA'!I126</f>
        <v>0</v>
      </c>
      <c r="H20" s="97"/>
      <c r="I20" s="94"/>
      <c r="J20" s="99"/>
      <c r="K20" s="97" t="str">
        <f>'Plot By Plot SoA'!M126</f>
        <v>Y</v>
      </c>
      <c r="L20" s="92"/>
      <c r="M20" s="92"/>
      <c r="N20" s="94"/>
    </row>
    <row r="21" spans="1:14" s="30" customFormat="1" x14ac:dyDescent="0.35">
      <c r="A21" s="88">
        <v>16</v>
      </c>
      <c r="B21" s="93">
        <f>'Plot By Plot SoA'!C129</f>
        <v>106</v>
      </c>
      <c r="C21" s="90">
        <f>'Plot By Plot SoA'!D129</f>
        <v>89.4</v>
      </c>
      <c r="D21" s="127">
        <f>'Plot By Plot SoA'!E129</f>
        <v>962.29266000000007</v>
      </c>
      <c r="E21" s="90"/>
      <c r="F21" s="97"/>
      <c r="G21" s="97">
        <f>'Plot By Plot SoA'!I129</f>
        <v>0</v>
      </c>
      <c r="H21" s="97"/>
      <c r="I21" s="94"/>
      <c r="J21" s="99"/>
      <c r="K21" s="97">
        <f>'Plot By Plot SoA'!M129</f>
        <v>0</v>
      </c>
      <c r="L21" s="92"/>
      <c r="M21" s="92"/>
      <c r="N21" s="94"/>
    </row>
    <row r="22" spans="1:14" s="30" customFormat="1" x14ac:dyDescent="0.35">
      <c r="A22" s="88">
        <v>17</v>
      </c>
      <c r="B22" s="93">
        <f>'Plot By Plot SoA'!C131</f>
        <v>108</v>
      </c>
      <c r="C22" s="90">
        <f>'Plot By Plot SoA'!D131</f>
        <v>108</v>
      </c>
      <c r="D22" s="127">
        <f>'Plot By Plot SoA'!E131</f>
        <v>1162.5011999999999</v>
      </c>
      <c r="E22" s="90"/>
      <c r="F22" s="97"/>
      <c r="G22" s="97">
        <f>'Plot By Plot SoA'!I131</f>
        <v>0</v>
      </c>
      <c r="H22" s="97"/>
      <c r="I22" s="94"/>
      <c r="J22" s="99"/>
      <c r="K22" s="97">
        <f>'Plot By Plot SoA'!M131</f>
        <v>0</v>
      </c>
      <c r="L22" s="92"/>
      <c r="M22" s="92"/>
      <c r="N22" s="94"/>
    </row>
    <row r="23" spans="1:14" s="30" customFormat="1" x14ac:dyDescent="0.35">
      <c r="A23" s="88">
        <v>18</v>
      </c>
      <c r="B23" s="93">
        <f>'Plot By Plot SoA'!C133</f>
        <v>110</v>
      </c>
      <c r="C23" s="90">
        <f>'Plot By Plot SoA'!D133</f>
        <v>72.900000000000006</v>
      </c>
      <c r="D23" s="127">
        <f>'Plot By Plot SoA'!E133</f>
        <v>784.68831</v>
      </c>
      <c r="E23" s="90"/>
      <c r="F23" s="97"/>
      <c r="G23" s="97">
        <f>'Plot By Plot SoA'!I133</f>
        <v>0</v>
      </c>
      <c r="H23" s="97"/>
      <c r="I23" s="94"/>
      <c r="J23" s="99"/>
      <c r="K23" s="97" t="str">
        <f>'Plot By Plot SoA'!M133</f>
        <v>Y</v>
      </c>
      <c r="L23" s="92"/>
      <c r="M23" s="92"/>
      <c r="N23" s="94"/>
    </row>
    <row r="24" spans="1:14" s="30" customFormat="1" x14ac:dyDescent="0.35">
      <c r="A24" s="88">
        <v>19</v>
      </c>
      <c r="B24" s="93">
        <f>'Plot By Plot SoA'!C135</f>
        <v>112</v>
      </c>
      <c r="C24" s="90">
        <f>'Plot By Plot SoA'!D135</f>
        <v>100.4</v>
      </c>
      <c r="D24" s="127">
        <f>'Plot By Plot SoA'!E135</f>
        <v>1080.6955600000001</v>
      </c>
      <c r="E24" s="90"/>
      <c r="F24" s="97"/>
      <c r="G24" s="97">
        <f>'Plot By Plot SoA'!I135</f>
        <v>0</v>
      </c>
      <c r="H24" s="97"/>
      <c r="I24" s="94"/>
      <c r="J24" s="99"/>
      <c r="K24" s="97">
        <f>'Plot By Plot SoA'!M135</f>
        <v>0</v>
      </c>
      <c r="L24" s="92"/>
      <c r="M24" s="92"/>
      <c r="N24" s="94"/>
    </row>
    <row r="25" spans="1:14" s="30" customFormat="1" x14ac:dyDescent="0.35">
      <c r="A25" s="88">
        <v>20</v>
      </c>
      <c r="B25" s="93">
        <f>'Plot By Plot SoA'!C138</f>
        <v>114</v>
      </c>
      <c r="C25" s="90">
        <f>'Plot By Plot SoA'!D138</f>
        <v>100.4</v>
      </c>
      <c r="D25" s="127">
        <f>'Plot By Plot SoA'!E138</f>
        <v>1080.6955600000001</v>
      </c>
      <c r="E25" s="90"/>
      <c r="F25" s="97"/>
      <c r="G25" s="97">
        <f>'Plot By Plot SoA'!I138</f>
        <v>0</v>
      </c>
      <c r="H25" s="97"/>
      <c r="I25" s="94"/>
      <c r="J25" s="99"/>
      <c r="K25" s="97">
        <f>'Plot By Plot SoA'!M138</f>
        <v>0</v>
      </c>
      <c r="L25" s="92"/>
      <c r="M25" s="92"/>
      <c r="N25" s="94"/>
    </row>
    <row r="26" spans="1:14" s="30" customFormat="1" x14ac:dyDescent="0.35">
      <c r="A26" s="88">
        <v>21</v>
      </c>
      <c r="B26" s="93">
        <f>'Plot By Plot SoA'!C140</f>
        <v>116</v>
      </c>
      <c r="C26" s="90">
        <f>'Plot By Plot SoA'!D140</f>
        <v>87.7</v>
      </c>
      <c r="D26" s="127">
        <f>'Plot By Plot SoA'!E140</f>
        <v>943.99402999999995</v>
      </c>
      <c r="E26" s="90"/>
      <c r="F26" s="97"/>
      <c r="G26" s="97">
        <f>'Plot By Plot SoA'!I140</f>
        <v>0</v>
      </c>
      <c r="H26" s="97"/>
      <c r="I26" s="94"/>
      <c r="J26" s="99"/>
      <c r="K26" s="97" t="str">
        <f>'Plot By Plot SoA'!M140</f>
        <v>Y</v>
      </c>
      <c r="L26" s="92"/>
      <c r="M26" s="92"/>
      <c r="N26" s="94"/>
    </row>
    <row r="27" spans="1:14" s="30" customFormat="1" x14ac:dyDescent="0.35">
      <c r="A27" s="88">
        <v>22</v>
      </c>
      <c r="B27" s="93">
        <f>'Plot By Plot SoA'!C143</f>
        <v>118</v>
      </c>
      <c r="C27" s="90">
        <f>'Plot By Plot SoA'!D143</f>
        <v>95</v>
      </c>
      <c r="D27" s="127">
        <f>'Plot By Plot SoA'!E143</f>
        <v>1022.5704999999999</v>
      </c>
      <c r="E27" s="90"/>
      <c r="F27" s="97"/>
      <c r="G27" s="97"/>
      <c r="H27" s="97">
        <f>'Plot By Plot SoA'!J143</f>
        <v>0</v>
      </c>
      <c r="I27" s="94"/>
      <c r="J27" s="99">
        <f>'Plot By Plot SoA'!L143</f>
        <v>0</v>
      </c>
      <c r="K27" s="97"/>
      <c r="L27" s="92"/>
      <c r="M27" s="92"/>
      <c r="N27" s="94"/>
    </row>
    <row r="28" spans="1:14" s="30" customFormat="1" x14ac:dyDescent="0.35">
      <c r="A28" s="88">
        <v>23</v>
      </c>
      <c r="B28" s="93">
        <f>'Plot By Plot SoA'!C144</f>
        <v>119</v>
      </c>
      <c r="C28" s="90">
        <f>'Plot By Plot SoA'!D144</f>
        <v>95</v>
      </c>
      <c r="D28" s="127">
        <f>'Plot By Plot SoA'!E144</f>
        <v>1022.5704999999999</v>
      </c>
      <c r="E28" s="90"/>
      <c r="F28" s="97"/>
      <c r="G28" s="97"/>
      <c r="H28" s="97">
        <f>'Plot By Plot SoA'!J144</f>
        <v>0</v>
      </c>
      <c r="I28" s="94"/>
      <c r="J28" s="99">
        <f>'Plot By Plot SoA'!L144</f>
        <v>0</v>
      </c>
      <c r="K28" s="97"/>
      <c r="L28" s="92"/>
      <c r="M28" s="92"/>
      <c r="N28" s="94"/>
    </row>
    <row r="29" spans="1:14" s="30" customFormat="1" x14ac:dyDescent="0.35">
      <c r="A29" s="88">
        <v>24</v>
      </c>
      <c r="B29" s="93">
        <f>'Plot By Plot SoA'!C145</f>
        <v>120</v>
      </c>
      <c r="C29" s="90">
        <f>'Plot By Plot SoA'!D145</f>
        <v>83.1</v>
      </c>
      <c r="D29" s="127">
        <f>'Plot By Plot SoA'!E145</f>
        <v>894.4800899999999</v>
      </c>
      <c r="E29" s="90"/>
      <c r="F29" s="97"/>
      <c r="G29" s="97">
        <f>'Plot By Plot SoA'!I145</f>
        <v>0</v>
      </c>
      <c r="H29" s="97"/>
      <c r="I29" s="94"/>
      <c r="J29" s="99"/>
      <c r="K29" s="92">
        <f>'Plot By Plot SoA'!M145</f>
        <v>0</v>
      </c>
      <c r="L29" s="92"/>
      <c r="M29" s="92"/>
      <c r="N29" s="94"/>
    </row>
    <row r="30" spans="1:14" s="30" customFormat="1" x14ac:dyDescent="0.35">
      <c r="A30" s="88">
        <v>25</v>
      </c>
      <c r="B30" s="93">
        <f>'Plot By Plot SoA'!C148</f>
        <v>122</v>
      </c>
      <c r="C30" s="90">
        <f>'Plot By Plot SoA'!D148</f>
        <v>77.5</v>
      </c>
      <c r="D30" s="127">
        <f>'Plot By Plot SoA'!E148</f>
        <v>834.20224999999994</v>
      </c>
      <c r="E30" s="90"/>
      <c r="F30" s="97"/>
      <c r="G30" s="97">
        <f>'Plot By Plot SoA'!I148</f>
        <v>0</v>
      </c>
      <c r="H30" s="97"/>
      <c r="I30" s="94"/>
      <c r="J30" s="99"/>
      <c r="K30" s="92" t="str">
        <f>'Plot By Plot SoA'!M148</f>
        <v>Y</v>
      </c>
      <c r="L30" s="92"/>
      <c r="M30" s="92"/>
      <c r="N30" s="94"/>
    </row>
    <row r="31" spans="1:14" s="30" customFormat="1" x14ac:dyDescent="0.35">
      <c r="A31" s="88">
        <v>26</v>
      </c>
      <c r="B31" s="93">
        <f>'Plot By Plot SoA'!C150</f>
        <v>124</v>
      </c>
      <c r="C31" s="90">
        <f>'Plot By Plot SoA'!D150</f>
        <v>99</v>
      </c>
      <c r="D31" s="127">
        <f>'Plot By Plot SoA'!E150</f>
        <v>1065.6261</v>
      </c>
      <c r="E31" s="90"/>
      <c r="F31" s="97"/>
      <c r="G31" s="97">
        <f>'Plot By Plot SoA'!I150</f>
        <v>0</v>
      </c>
      <c r="H31" s="97"/>
      <c r="I31" s="94"/>
      <c r="J31" s="99"/>
      <c r="K31" s="92" t="str">
        <f>'Plot By Plot SoA'!M150</f>
        <v>Y</v>
      </c>
      <c r="L31" s="92"/>
      <c r="M31" s="92"/>
      <c r="N31" s="94"/>
    </row>
    <row r="32" spans="1:14" s="30" customFormat="1" x14ac:dyDescent="0.35">
      <c r="A32" s="88">
        <v>27</v>
      </c>
      <c r="B32" s="93">
        <f>'Plot By Plot SoA'!C152</f>
        <v>126</v>
      </c>
      <c r="C32" s="90">
        <f>'Plot By Plot SoA'!D152</f>
        <v>75.3</v>
      </c>
      <c r="D32" s="127">
        <f>'Plot By Plot SoA'!E152</f>
        <v>810.52166999999997</v>
      </c>
      <c r="E32" s="90"/>
      <c r="F32" s="97"/>
      <c r="G32" s="97">
        <f>'Plot By Plot SoA'!I152</f>
        <v>0</v>
      </c>
      <c r="H32" s="97"/>
      <c r="I32" s="94"/>
      <c r="J32" s="99"/>
      <c r="K32" s="92" t="str">
        <f>'Plot By Plot SoA'!M152</f>
        <v>Y</v>
      </c>
      <c r="L32" s="92"/>
      <c r="M32" s="92"/>
      <c r="N32" s="94"/>
    </row>
    <row r="33" spans="1:20" s="30" customFormat="1" x14ac:dyDescent="0.35">
      <c r="A33" s="88">
        <v>28</v>
      </c>
      <c r="B33" s="93">
        <f>'Plot By Plot SoA'!C154</f>
        <v>128</v>
      </c>
      <c r="C33" s="90">
        <f>'Plot By Plot SoA'!D154</f>
        <v>70.599999999999994</v>
      </c>
      <c r="D33" s="127">
        <f>'Plot By Plot SoA'!E154</f>
        <v>759.93133999999986</v>
      </c>
      <c r="E33" s="90"/>
      <c r="F33" s="97"/>
      <c r="G33" s="97">
        <f>'Plot By Plot SoA'!I154</f>
        <v>0</v>
      </c>
      <c r="H33" s="97"/>
      <c r="I33" s="94"/>
      <c r="J33" s="99"/>
      <c r="K33" s="92" t="str">
        <f>'Plot By Plot SoA'!M154</f>
        <v>Y</v>
      </c>
      <c r="L33" s="92"/>
      <c r="M33" s="92"/>
      <c r="N33" s="94"/>
    </row>
    <row r="34" spans="1:20" s="30" customFormat="1" x14ac:dyDescent="0.35">
      <c r="A34" s="88">
        <v>29</v>
      </c>
      <c r="B34" s="93">
        <f>'Plot By Plot SoA'!C156</f>
        <v>130</v>
      </c>
      <c r="C34" s="90">
        <f>'Plot By Plot SoA'!D156</f>
        <v>108.2</v>
      </c>
      <c r="D34" s="127">
        <f>'Plot By Plot SoA'!E156</f>
        <v>1164.65398</v>
      </c>
      <c r="E34" s="90"/>
      <c r="F34" s="97"/>
      <c r="G34" s="97">
        <f>'Plot By Plot SoA'!I156</f>
        <v>0</v>
      </c>
      <c r="H34" s="97"/>
      <c r="I34" s="94"/>
      <c r="J34" s="99"/>
      <c r="K34" s="92">
        <f>'Plot By Plot SoA'!M156</f>
        <v>0</v>
      </c>
      <c r="L34" s="92"/>
      <c r="M34" s="92"/>
      <c r="N34" s="94"/>
    </row>
    <row r="35" spans="1:20" s="30" customFormat="1" x14ac:dyDescent="0.35">
      <c r="A35" s="88">
        <v>30</v>
      </c>
      <c r="B35" s="128">
        <f>'Plot By Plot SoA'!C160</f>
        <v>132</v>
      </c>
      <c r="C35" s="90">
        <f>'Plot By Plot SoA'!D160</f>
        <v>72.599999999999994</v>
      </c>
      <c r="D35" s="127">
        <f>'Plot By Plot SoA'!E160</f>
        <v>781.45913999999993</v>
      </c>
      <c r="E35" s="90"/>
      <c r="F35" s="97"/>
      <c r="G35" s="97">
        <f>'Plot By Plot SoA'!I160</f>
        <v>0</v>
      </c>
      <c r="H35" s="97"/>
      <c r="I35" s="94"/>
      <c r="J35" s="99"/>
      <c r="K35" s="92" t="str">
        <f>'Plot By Plot SoA'!M160</f>
        <v>Y</v>
      </c>
      <c r="L35" s="92"/>
      <c r="M35" s="92"/>
      <c r="N35" s="94"/>
    </row>
    <row r="36" spans="1:20" s="30" customFormat="1" x14ac:dyDescent="0.35">
      <c r="A36" s="88">
        <v>31</v>
      </c>
      <c r="B36" s="93">
        <f>'Plot By Plot SoA'!C163</f>
        <v>134</v>
      </c>
      <c r="C36" s="90">
        <f>'Plot By Plot SoA'!D163</f>
        <v>97.1</v>
      </c>
      <c r="D36" s="127">
        <f>'Plot By Plot SoA'!E163</f>
        <v>1045.1746899999998</v>
      </c>
      <c r="E36" s="90"/>
      <c r="F36" s="97"/>
      <c r="G36" s="97">
        <f>'Plot By Plot SoA'!I163</f>
        <v>0</v>
      </c>
      <c r="H36" s="97"/>
      <c r="I36" s="94"/>
      <c r="J36" s="99"/>
      <c r="K36" s="92">
        <f>'Plot By Plot SoA'!M163</f>
        <v>0</v>
      </c>
      <c r="L36" s="92"/>
      <c r="M36" s="92"/>
      <c r="N36" s="94"/>
    </row>
    <row r="37" spans="1:20" s="30" customFormat="1" x14ac:dyDescent="0.35">
      <c r="A37" s="88">
        <v>32</v>
      </c>
      <c r="B37" s="93">
        <f>'Plot By Plot SoA'!C166</f>
        <v>136</v>
      </c>
      <c r="C37" s="90">
        <f>'Plot By Plot SoA'!D166</f>
        <v>88.5</v>
      </c>
      <c r="D37" s="127">
        <f>'Plot By Plot SoA'!E166</f>
        <v>952.60514999999998</v>
      </c>
      <c r="E37" s="90"/>
      <c r="F37" s="97"/>
      <c r="G37" s="97">
        <f>'Plot By Plot SoA'!I166</f>
        <v>0</v>
      </c>
      <c r="H37" s="97"/>
      <c r="I37" s="94"/>
      <c r="J37" s="99"/>
      <c r="K37" s="92">
        <f>'Plot By Plot SoA'!M166</f>
        <v>0</v>
      </c>
      <c r="L37" s="92"/>
      <c r="M37" s="92"/>
      <c r="N37" s="94"/>
    </row>
    <row r="38" spans="1:20" s="30" customFormat="1" ht="15.75" thickBot="1" x14ac:dyDescent="0.4">
      <c r="A38" s="164">
        <v>33</v>
      </c>
      <c r="B38" s="62">
        <f>'Plot By Plot SoA'!C168</f>
        <v>138</v>
      </c>
      <c r="C38" s="165">
        <f>'Plot By Plot SoA'!D168</f>
        <v>90.7</v>
      </c>
      <c r="D38" s="58">
        <f>'Plot By Plot SoA'!E168</f>
        <v>976.28572999999994</v>
      </c>
      <c r="E38" s="165"/>
      <c r="F38" s="166"/>
      <c r="G38" s="166">
        <f>'Plot By Plot SoA'!I168</f>
        <v>0</v>
      </c>
      <c r="H38" s="166"/>
      <c r="I38" s="54"/>
      <c r="J38" s="64"/>
      <c r="K38" s="87" t="str">
        <f>'Plot By Plot SoA'!M168</f>
        <v>Y</v>
      </c>
      <c r="L38" s="87"/>
      <c r="M38" s="87"/>
      <c r="N38" s="54"/>
    </row>
    <row r="39" spans="1:20" s="30" customFormat="1" ht="39" customHeight="1" thickBot="1" x14ac:dyDescent="0.4">
      <c r="A39" s="162" t="s">
        <v>50</v>
      </c>
      <c r="B39" s="163">
        <f>COUNTA(B6:B38)</f>
        <v>33</v>
      </c>
      <c r="C39" s="168">
        <f>SUM(C6:C38)</f>
        <v>3036.3999999999996</v>
      </c>
      <c r="D39" s="133">
        <f>SUM(C39*10.7639)</f>
        <v>32683.505959999995</v>
      </c>
      <c r="E39" s="130">
        <f t="shared" ref="E39:N39" si="0">COUNTA(E6:E38)</f>
        <v>0</v>
      </c>
      <c r="F39" s="147">
        <f t="shared" si="0"/>
        <v>0</v>
      </c>
      <c r="G39" s="130">
        <f t="shared" si="0"/>
        <v>21</v>
      </c>
      <c r="H39" s="147">
        <f t="shared" si="0"/>
        <v>12</v>
      </c>
      <c r="I39" s="149">
        <f t="shared" si="0"/>
        <v>0</v>
      </c>
      <c r="J39" s="130">
        <f t="shared" si="0"/>
        <v>12</v>
      </c>
      <c r="K39" s="147">
        <f t="shared" si="0"/>
        <v>21</v>
      </c>
      <c r="L39" s="147">
        <f t="shared" si="0"/>
        <v>0</v>
      </c>
      <c r="M39" s="130">
        <f t="shared" si="0"/>
        <v>0</v>
      </c>
      <c r="N39" s="149">
        <f t="shared" si="0"/>
        <v>0</v>
      </c>
    </row>
    <row r="40" spans="1:20" s="30" customFormat="1" x14ac:dyDescent="0.35">
      <c r="A40" s="135" t="s">
        <v>27</v>
      </c>
      <c r="B40" s="136"/>
      <c r="C40" s="137"/>
      <c r="D40" s="167"/>
      <c r="E40" s="138"/>
      <c r="F40" s="139"/>
      <c r="G40" s="139"/>
      <c r="H40" s="140"/>
      <c r="I40" s="141"/>
      <c r="J40" s="142">
        <v>1</v>
      </c>
      <c r="K40" s="143">
        <v>2</v>
      </c>
      <c r="L40" s="143">
        <v>3</v>
      </c>
      <c r="M40" s="144">
        <v>4</v>
      </c>
      <c r="N40" s="145">
        <v>5</v>
      </c>
      <c r="P40" s="978" t="s">
        <v>56</v>
      </c>
      <c r="Q40" s="979"/>
      <c r="R40" s="979"/>
      <c r="S40" s="979"/>
      <c r="T40" s="980"/>
    </row>
    <row r="41" spans="1:20" s="30" customFormat="1" x14ac:dyDescent="0.35">
      <c r="A41" s="150">
        <v>34</v>
      </c>
      <c r="B41" s="151">
        <f>'Plot By Plot SoA'!C290</f>
        <v>259</v>
      </c>
      <c r="C41" s="57">
        <f>'Plot By Plot SoA'!D290</f>
        <v>43.4</v>
      </c>
      <c r="D41" s="152">
        <f>'Plot By Plot SoA'!E290</f>
        <v>467.15325999999999</v>
      </c>
      <c r="E41" s="153"/>
      <c r="F41" s="154"/>
      <c r="G41" s="154">
        <f>'Plot By Plot SoA'!I290</f>
        <v>0</v>
      </c>
      <c r="H41" s="151"/>
      <c r="I41" s="155"/>
      <c r="J41" s="156"/>
      <c r="K41" s="157">
        <f>'Plot By Plot SoA'!M290</f>
        <v>0</v>
      </c>
      <c r="L41" s="157"/>
      <c r="M41" s="157"/>
      <c r="N41" s="54"/>
      <c r="P41" s="189"/>
      <c r="Q41" s="184" t="s">
        <v>57</v>
      </c>
      <c r="R41" s="184" t="s">
        <v>58</v>
      </c>
      <c r="S41" s="185" t="s">
        <v>59</v>
      </c>
      <c r="T41" s="188" t="s">
        <v>55</v>
      </c>
    </row>
    <row r="42" spans="1:20" s="30" customFormat="1" x14ac:dyDescent="0.35">
      <c r="A42" s="158">
        <v>35</v>
      </c>
      <c r="B42" s="121">
        <f>'Plot By Plot SoA'!C292</f>
        <v>261</v>
      </c>
      <c r="C42" s="57">
        <f>'Plot By Plot SoA'!D292</f>
        <v>43.4</v>
      </c>
      <c r="D42" s="58">
        <f>'Plot By Plot SoA'!E292</f>
        <v>467.15325999999999</v>
      </c>
      <c r="E42" s="57"/>
      <c r="F42" s="159"/>
      <c r="G42" s="159">
        <f>'Plot By Plot SoA'!I292</f>
        <v>0</v>
      </c>
      <c r="H42" s="121"/>
      <c r="I42" s="54"/>
      <c r="J42" s="59"/>
      <c r="K42" s="60">
        <f>'Plot By Plot SoA'!M292</f>
        <v>0</v>
      </c>
      <c r="L42" s="60"/>
      <c r="M42" s="60"/>
      <c r="N42" s="54"/>
      <c r="P42" s="180" t="s">
        <v>29</v>
      </c>
      <c r="Q42" s="128">
        <v>0</v>
      </c>
      <c r="R42" s="128">
        <v>0</v>
      </c>
      <c r="S42" s="93">
        <v>10</v>
      </c>
      <c r="T42" s="94">
        <f>SUM(Q42:S42)</f>
        <v>10</v>
      </c>
    </row>
    <row r="43" spans="1:20" s="30" customFormat="1" x14ac:dyDescent="0.35">
      <c r="A43" s="158">
        <v>36</v>
      </c>
      <c r="B43" s="121">
        <f>'Plot By Plot SoA'!C294</f>
        <v>263</v>
      </c>
      <c r="C43" s="57">
        <f>'Plot By Plot SoA'!D294</f>
        <v>43.4</v>
      </c>
      <c r="D43" s="58">
        <f>'Plot By Plot SoA'!E294</f>
        <v>467.15325999999999</v>
      </c>
      <c r="E43" s="57"/>
      <c r="F43" s="159"/>
      <c r="G43" s="159">
        <f>'Plot By Plot SoA'!I294</f>
        <v>0</v>
      </c>
      <c r="H43" s="121"/>
      <c r="I43" s="54"/>
      <c r="J43" s="59"/>
      <c r="K43" s="60">
        <f>'Plot By Plot SoA'!M294</f>
        <v>0</v>
      </c>
      <c r="L43" s="60"/>
      <c r="M43" s="60"/>
      <c r="N43" s="54"/>
      <c r="P43" s="180" t="s">
        <v>30</v>
      </c>
      <c r="Q43" s="128">
        <v>0</v>
      </c>
      <c r="R43" s="128">
        <v>11</v>
      </c>
      <c r="S43" s="93">
        <v>0</v>
      </c>
      <c r="T43" s="94">
        <f>SUM(Q43:S43)</f>
        <v>11</v>
      </c>
    </row>
    <row r="44" spans="1:20" s="30" customFormat="1" ht="15.75" thickBot="1" x14ac:dyDescent="0.4">
      <c r="A44" s="158">
        <v>37</v>
      </c>
      <c r="B44" s="121">
        <f>'Plot By Plot SoA'!C296</f>
        <v>265</v>
      </c>
      <c r="C44" s="57">
        <f>'Plot By Plot SoA'!D296</f>
        <v>43.4</v>
      </c>
      <c r="D44" s="58">
        <f>'Plot By Plot SoA'!E296</f>
        <v>467.15325999999999</v>
      </c>
      <c r="E44" s="57"/>
      <c r="F44" s="159"/>
      <c r="G44" s="159"/>
      <c r="H44" s="121" t="str">
        <f>'Plot By Plot SoA'!J296</f>
        <v>Y</v>
      </c>
      <c r="I44" s="54"/>
      <c r="J44" s="59" t="str">
        <f>'Plot By Plot SoA'!L296</f>
        <v>Y</v>
      </c>
      <c r="K44" s="60"/>
      <c r="L44" s="60"/>
      <c r="M44" s="60"/>
      <c r="N44" s="54"/>
      <c r="P44" s="190" t="s">
        <v>31</v>
      </c>
      <c r="Q44" s="186">
        <v>0</v>
      </c>
      <c r="R44" s="186">
        <v>0</v>
      </c>
      <c r="S44" s="187">
        <v>1</v>
      </c>
      <c r="T44" s="94">
        <f>SUM(Q44:S44)</f>
        <v>1</v>
      </c>
    </row>
    <row r="45" spans="1:20" s="30" customFormat="1" ht="15.75" thickBot="1" x14ac:dyDescent="0.4">
      <c r="A45" s="158">
        <v>38</v>
      </c>
      <c r="B45" s="121">
        <f>'Plot By Plot SoA'!C297</f>
        <v>266</v>
      </c>
      <c r="C45" s="57">
        <f>'Plot By Plot SoA'!D297</f>
        <v>43.4</v>
      </c>
      <c r="D45" s="58">
        <f>'Plot By Plot SoA'!E297</f>
        <v>467.15325999999999</v>
      </c>
      <c r="E45" s="57"/>
      <c r="F45" s="159"/>
      <c r="G45" s="159"/>
      <c r="H45" s="121" t="str">
        <f>'Plot By Plot SoA'!J297</f>
        <v>Y</v>
      </c>
      <c r="I45" s="54"/>
      <c r="J45" s="59" t="str">
        <f>'Plot By Plot SoA'!L297</f>
        <v>Y</v>
      </c>
      <c r="K45" s="60"/>
      <c r="L45" s="60"/>
      <c r="M45" s="60"/>
      <c r="N45" s="54"/>
      <c r="P45" s="181" t="s">
        <v>55</v>
      </c>
      <c r="Q45" s="179">
        <f>SUM(Q42:Q44)</f>
        <v>0</v>
      </c>
      <c r="R45" s="179">
        <f>SUM(R42:R44)</f>
        <v>11</v>
      </c>
      <c r="S45" s="179">
        <f>SUM(S42:S44)</f>
        <v>11</v>
      </c>
      <c r="T45" s="178">
        <f>SUM(Q45:S45)</f>
        <v>22</v>
      </c>
    </row>
    <row r="46" spans="1:20" s="30" customFormat="1" x14ac:dyDescent="0.35">
      <c r="A46" s="158">
        <v>39</v>
      </c>
      <c r="B46" s="121">
        <f>'Plot By Plot SoA'!C298</f>
        <v>267</v>
      </c>
      <c r="C46" s="57">
        <f>'Plot By Plot SoA'!D298</f>
        <v>43.4</v>
      </c>
      <c r="D46" s="58">
        <f>'Plot By Plot SoA'!E298</f>
        <v>467.15325999999999</v>
      </c>
      <c r="E46" s="57"/>
      <c r="F46" s="159"/>
      <c r="G46" s="159"/>
      <c r="H46" s="121" t="str">
        <f>'Plot By Plot SoA'!J298</f>
        <v>Y</v>
      </c>
      <c r="I46" s="54"/>
      <c r="J46" s="59" t="str">
        <f>'Plot By Plot SoA'!L298</f>
        <v>Y</v>
      </c>
      <c r="K46" s="60"/>
      <c r="L46" s="60"/>
      <c r="M46" s="60"/>
      <c r="N46" s="54"/>
    </row>
    <row r="47" spans="1:20" s="30" customFormat="1" x14ac:dyDescent="0.35">
      <c r="A47" s="158">
        <v>40</v>
      </c>
      <c r="B47" s="121">
        <f>'Plot By Plot SoA'!C299</f>
        <v>268</v>
      </c>
      <c r="C47" s="57">
        <f>'Plot By Plot SoA'!D299</f>
        <v>43.4</v>
      </c>
      <c r="D47" s="58">
        <f>'Plot By Plot SoA'!E299</f>
        <v>467.15325999999999</v>
      </c>
      <c r="E47" s="57"/>
      <c r="F47" s="159"/>
      <c r="G47" s="159"/>
      <c r="H47" s="121" t="str">
        <f>'Plot By Plot SoA'!J299</f>
        <v>Y</v>
      </c>
      <c r="I47" s="54"/>
      <c r="J47" s="59" t="str">
        <f>'Plot By Plot SoA'!L299</f>
        <v>Y</v>
      </c>
      <c r="K47" s="60"/>
      <c r="L47" s="60"/>
      <c r="M47" s="60"/>
      <c r="N47" s="54"/>
    </row>
    <row r="48" spans="1:20" s="30" customFormat="1" x14ac:dyDescent="0.35">
      <c r="A48" s="158">
        <v>41</v>
      </c>
      <c r="B48" s="121">
        <f>'Plot By Plot SoA'!C300</f>
        <v>269</v>
      </c>
      <c r="C48" s="57">
        <f>'Plot By Plot SoA'!D300</f>
        <v>43.4</v>
      </c>
      <c r="D48" s="58">
        <f>'Plot By Plot SoA'!E300</f>
        <v>467.15325999999999</v>
      </c>
      <c r="E48" s="57"/>
      <c r="F48" s="159"/>
      <c r="G48" s="159"/>
      <c r="H48" s="121" t="str">
        <f>'Plot By Plot SoA'!J300</f>
        <v>Y</v>
      </c>
      <c r="I48" s="54"/>
      <c r="J48" s="59" t="str">
        <f>'Plot By Plot SoA'!L300</f>
        <v>Y</v>
      </c>
      <c r="K48" s="60"/>
      <c r="L48" s="60"/>
      <c r="M48" s="60"/>
      <c r="N48" s="54"/>
    </row>
    <row r="49" spans="1:14" s="30" customFormat="1" x14ac:dyDescent="0.35">
      <c r="A49" s="158">
        <v>42</v>
      </c>
      <c r="B49" s="121">
        <f>'Plot By Plot SoA'!C301</f>
        <v>270</v>
      </c>
      <c r="C49" s="57">
        <f>'Plot By Plot SoA'!D301</f>
        <v>51.2</v>
      </c>
      <c r="D49" s="58">
        <f>'Plot By Plot SoA'!E301</f>
        <v>551.11167999999998</v>
      </c>
      <c r="E49" s="57"/>
      <c r="F49" s="159"/>
      <c r="G49" s="159"/>
      <c r="H49" s="121" t="str">
        <f>'Plot By Plot SoA'!J301</f>
        <v>Y</v>
      </c>
      <c r="I49" s="54"/>
      <c r="J49" s="59" t="str">
        <f>'Plot By Plot SoA'!L301</f>
        <v>Y</v>
      </c>
      <c r="K49" s="60"/>
      <c r="L49" s="60"/>
      <c r="M49" s="60"/>
      <c r="N49" s="54"/>
    </row>
    <row r="50" spans="1:14" s="30" customFormat="1" x14ac:dyDescent="0.35">
      <c r="A50" s="158">
        <v>43</v>
      </c>
      <c r="B50" s="121">
        <f>'Plot By Plot SoA'!C302</f>
        <v>271</v>
      </c>
      <c r="C50" s="57">
        <f>'Plot By Plot SoA'!D302</f>
        <v>43.4</v>
      </c>
      <c r="D50" s="58">
        <f>'Plot By Plot SoA'!E302</f>
        <v>467.15325999999999</v>
      </c>
      <c r="E50" s="57"/>
      <c r="F50" s="159"/>
      <c r="G50" s="159"/>
      <c r="H50" s="121" t="str">
        <f>'Plot By Plot SoA'!J302</f>
        <v>Y</v>
      </c>
      <c r="I50" s="54"/>
      <c r="J50" s="59" t="str">
        <f>'Plot By Plot SoA'!L302</f>
        <v>Y</v>
      </c>
      <c r="K50" s="60"/>
      <c r="L50" s="60"/>
      <c r="M50" s="60"/>
      <c r="N50" s="54"/>
    </row>
    <row r="51" spans="1:14" s="30" customFormat="1" x14ac:dyDescent="0.35">
      <c r="A51" s="158">
        <v>44</v>
      </c>
      <c r="B51" s="121">
        <f>'Plot By Plot SoA'!C303</f>
        <v>272</v>
      </c>
      <c r="C51" s="57">
        <f>'Plot By Plot SoA'!D303</f>
        <v>43.4</v>
      </c>
      <c r="D51" s="58">
        <f>'Plot By Plot SoA'!E303</f>
        <v>467.15325999999999</v>
      </c>
      <c r="E51" s="57"/>
      <c r="F51" s="159"/>
      <c r="G51" s="159"/>
      <c r="H51" s="121" t="str">
        <f>'Plot By Plot SoA'!J303</f>
        <v>Y</v>
      </c>
      <c r="I51" s="54"/>
      <c r="J51" s="59" t="str">
        <f>'Plot By Plot SoA'!L303</f>
        <v>Y</v>
      </c>
      <c r="K51" s="60"/>
      <c r="L51" s="60"/>
      <c r="M51" s="60"/>
      <c r="N51" s="54"/>
    </row>
    <row r="52" spans="1:14" s="30" customFormat="1" x14ac:dyDescent="0.35">
      <c r="A52" s="158">
        <v>45</v>
      </c>
      <c r="B52" s="121">
        <f>'Plot By Plot SoA'!C305</f>
        <v>274</v>
      </c>
      <c r="C52" s="57">
        <f>'Plot By Plot SoA'!D305</f>
        <v>39.200000000000003</v>
      </c>
      <c r="D52" s="58">
        <f>'Plot By Plot SoA'!E305</f>
        <v>421.94488000000001</v>
      </c>
      <c r="E52" s="57"/>
      <c r="F52" s="159"/>
      <c r="G52" s="159"/>
      <c r="H52" s="121">
        <f>'Plot By Plot SoA'!J305</f>
        <v>0</v>
      </c>
      <c r="I52" s="54"/>
      <c r="J52" s="59" t="str">
        <f>'Plot By Plot SoA'!L305</f>
        <v>Y</v>
      </c>
      <c r="K52" s="60"/>
      <c r="L52" s="60"/>
      <c r="M52" s="60"/>
      <c r="N52" s="54"/>
    </row>
    <row r="53" spans="1:14" s="30" customFormat="1" x14ac:dyDescent="0.35">
      <c r="A53" s="158">
        <v>46</v>
      </c>
      <c r="B53" s="121">
        <f>'Plot By Plot SoA'!C306</f>
        <v>275</v>
      </c>
      <c r="C53" s="57">
        <f>'Plot By Plot SoA'!D306</f>
        <v>57.8</v>
      </c>
      <c r="D53" s="58">
        <f>'Plot By Plot SoA'!E306</f>
        <v>622.15341999999998</v>
      </c>
      <c r="E53" s="57"/>
      <c r="F53" s="159"/>
      <c r="G53" s="159" t="str">
        <f>'Plot By Plot SoA'!I306</f>
        <v>Y</v>
      </c>
      <c r="H53" s="121"/>
      <c r="I53" s="54"/>
      <c r="J53" s="59"/>
      <c r="K53" s="60">
        <f>'Plot By Plot SoA'!M306</f>
        <v>0</v>
      </c>
      <c r="L53" s="60"/>
      <c r="M53" s="60"/>
      <c r="N53" s="54"/>
    </row>
    <row r="54" spans="1:14" s="30" customFormat="1" x14ac:dyDescent="0.35">
      <c r="A54" s="158">
        <v>47</v>
      </c>
      <c r="B54" s="121">
        <f>'Plot By Plot SoA'!C307</f>
        <v>276</v>
      </c>
      <c r="C54" s="57">
        <f>'Plot By Plot SoA'!D307</f>
        <v>57.8</v>
      </c>
      <c r="D54" s="58">
        <f>'Plot By Plot SoA'!E307</f>
        <v>622.15341999999998</v>
      </c>
      <c r="E54" s="57"/>
      <c r="F54" s="159"/>
      <c r="G54" s="159" t="str">
        <f>'Plot By Plot SoA'!I307</f>
        <v>Y</v>
      </c>
      <c r="H54" s="121"/>
      <c r="I54" s="54"/>
      <c r="J54" s="59"/>
      <c r="K54" s="60">
        <f>'Plot By Plot SoA'!M307</f>
        <v>0</v>
      </c>
      <c r="L54" s="60"/>
      <c r="M54" s="60"/>
      <c r="N54" s="54"/>
    </row>
    <row r="55" spans="1:14" s="30" customFormat="1" x14ac:dyDescent="0.35">
      <c r="A55" s="158">
        <v>48</v>
      </c>
      <c r="B55" s="121">
        <f>'Plot By Plot SoA'!C308</f>
        <v>277</v>
      </c>
      <c r="C55" s="57">
        <f>'Plot By Plot SoA'!D308</f>
        <v>50.1</v>
      </c>
      <c r="D55" s="58">
        <f>'Plot By Plot SoA'!E308</f>
        <v>539.27139</v>
      </c>
      <c r="E55" s="57"/>
      <c r="F55" s="159"/>
      <c r="G55" s="159">
        <f>'Plot By Plot SoA'!I308</f>
        <v>0</v>
      </c>
      <c r="H55" s="121"/>
      <c r="I55" s="54"/>
      <c r="J55" s="59"/>
      <c r="K55" s="60">
        <f>'Plot By Plot SoA'!M308</f>
        <v>0</v>
      </c>
      <c r="L55" s="60"/>
      <c r="M55" s="60"/>
      <c r="N55" s="54"/>
    </row>
    <row r="56" spans="1:14" s="30" customFormat="1" x14ac:dyDescent="0.35">
      <c r="A56" s="158">
        <v>49</v>
      </c>
      <c r="B56" s="121">
        <f>'Plot By Plot SoA'!C309</f>
        <v>278</v>
      </c>
      <c r="C56" s="57">
        <f>'Plot By Plot SoA'!D309</f>
        <v>100.1</v>
      </c>
      <c r="D56" s="58">
        <f>'Plot By Plot SoA'!E309</f>
        <v>1077.4663899999998</v>
      </c>
      <c r="E56" s="57"/>
      <c r="F56" s="159"/>
      <c r="G56" s="159" t="str">
        <f>'Plot By Plot SoA'!I309</f>
        <v>Y</v>
      </c>
      <c r="H56" s="121"/>
      <c r="I56" s="54"/>
      <c r="J56" s="59"/>
      <c r="K56" s="60" t="str">
        <f>'Plot By Plot SoA'!M309</f>
        <v>Y</v>
      </c>
      <c r="L56" s="60"/>
      <c r="M56" s="60"/>
      <c r="N56" s="54"/>
    </row>
    <row r="57" spans="1:14" s="30" customFormat="1" x14ac:dyDescent="0.35">
      <c r="A57" s="158">
        <v>50</v>
      </c>
      <c r="B57" s="121">
        <f>'Plot By Plot SoA'!C310</f>
        <v>279</v>
      </c>
      <c r="C57" s="57">
        <f>'Plot By Plot SoA'!D310</f>
        <v>57.8</v>
      </c>
      <c r="D57" s="58">
        <f>'Plot By Plot SoA'!E310</f>
        <v>622.15341999999998</v>
      </c>
      <c r="E57" s="57"/>
      <c r="F57" s="159"/>
      <c r="G57" s="159" t="str">
        <f>'Plot By Plot SoA'!I310</f>
        <v>Y</v>
      </c>
      <c r="H57" s="121"/>
      <c r="I57" s="54"/>
      <c r="J57" s="59"/>
      <c r="K57" s="60">
        <f>'Plot By Plot SoA'!M310</f>
        <v>0</v>
      </c>
      <c r="L57" s="60"/>
      <c r="M57" s="60"/>
      <c r="N57" s="54"/>
    </row>
    <row r="58" spans="1:14" s="30" customFormat="1" x14ac:dyDescent="0.35">
      <c r="A58" s="158">
        <v>51</v>
      </c>
      <c r="B58" s="121">
        <f>'Plot By Plot SoA'!C311</f>
        <v>280</v>
      </c>
      <c r="C58" s="57">
        <f>'Plot By Plot SoA'!D311</f>
        <v>57.8</v>
      </c>
      <c r="D58" s="58">
        <f>'Plot By Plot SoA'!E311</f>
        <v>622.15341999999998</v>
      </c>
      <c r="E58" s="57"/>
      <c r="F58" s="159"/>
      <c r="G58" s="159" t="str">
        <f>'Plot By Plot SoA'!I311</f>
        <v>Y</v>
      </c>
      <c r="H58" s="121"/>
      <c r="I58" s="54"/>
      <c r="J58" s="59"/>
      <c r="K58" s="60">
        <f>'Plot By Plot SoA'!M311</f>
        <v>0</v>
      </c>
      <c r="L58" s="60"/>
      <c r="M58" s="60"/>
      <c r="N58" s="54"/>
    </row>
    <row r="59" spans="1:14" s="30" customFormat="1" x14ac:dyDescent="0.35">
      <c r="A59" s="158">
        <v>52</v>
      </c>
      <c r="B59" s="121">
        <f>'Plot By Plot SoA'!C313</f>
        <v>282</v>
      </c>
      <c r="C59" s="57">
        <f>'Plot By Plot SoA'!D313</f>
        <v>69.599999999999994</v>
      </c>
      <c r="D59" s="58">
        <f>'Plot By Plot SoA'!E313</f>
        <v>749.16743999999994</v>
      </c>
      <c r="E59" s="57"/>
      <c r="F59" s="159"/>
      <c r="G59" s="159" t="str">
        <f>'Plot By Plot SoA'!I313</f>
        <v>Y</v>
      </c>
      <c r="H59" s="121"/>
      <c r="I59" s="54"/>
      <c r="J59" s="59"/>
      <c r="K59" s="60" t="str">
        <f>'Plot By Plot SoA'!M313</f>
        <v>Y</v>
      </c>
      <c r="L59" s="60"/>
      <c r="M59" s="60"/>
      <c r="N59" s="54"/>
    </row>
    <row r="60" spans="1:14" s="30" customFormat="1" x14ac:dyDescent="0.35">
      <c r="A60" s="158">
        <v>53</v>
      </c>
      <c r="B60" s="121">
        <f>'Plot By Plot SoA'!C316</f>
        <v>285</v>
      </c>
      <c r="C60" s="57">
        <f>'Plot By Plot SoA'!D316</f>
        <v>87.3</v>
      </c>
      <c r="D60" s="58">
        <f>'Plot By Plot SoA'!E316</f>
        <v>939.68846999999994</v>
      </c>
      <c r="E60" s="57"/>
      <c r="F60" s="159"/>
      <c r="G60" s="159" t="str">
        <f>'Plot By Plot SoA'!I316</f>
        <v>Y</v>
      </c>
      <c r="H60" s="121"/>
      <c r="I60" s="54"/>
      <c r="J60" s="59"/>
      <c r="K60" s="60">
        <f>'Plot By Plot SoA'!M316</f>
        <v>0</v>
      </c>
      <c r="L60" s="60"/>
      <c r="M60" s="60"/>
      <c r="N60" s="54"/>
    </row>
    <row r="61" spans="1:14" s="30" customFormat="1" x14ac:dyDescent="0.35">
      <c r="A61" s="158">
        <v>54</v>
      </c>
      <c r="B61" s="121">
        <f>'Plot By Plot SoA'!C319</f>
        <v>288</v>
      </c>
      <c r="C61" s="57">
        <f>'Plot By Plot SoA'!D319</f>
        <v>69.599999999999994</v>
      </c>
      <c r="D61" s="58">
        <f>'Plot By Plot SoA'!E319</f>
        <v>749.16743999999994</v>
      </c>
      <c r="E61" s="57"/>
      <c r="F61" s="159"/>
      <c r="G61" s="159"/>
      <c r="H61" s="121">
        <f>'Plot By Plot SoA'!J319</f>
        <v>0</v>
      </c>
      <c r="I61" s="54"/>
      <c r="J61" s="59">
        <f>'Plot By Plot SoA'!L319</f>
        <v>0</v>
      </c>
      <c r="K61" s="60"/>
      <c r="L61" s="60"/>
      <c r="M61" s="60"/>
      <c r="N61" s="54"/>
    </row>
    <row r="62" spans="1:14" s="30" customFormat="1" ht="15.75" thickBot="1" x14ac:dyDescent="0.4">
      <c r="A62" s="164">
        <v>55</v>
      </c>
      <c r="B62" s="121">
        <f>'Plot By Plot SoA'!C320</f>
        <v>289</v>
      </c>
      <c r="C62" s="57">
        <f>'Plot By Plot SoA'!D320</f>
        <v>59.4</v>
      </c>
      <c r="D62" s="58">
        <f>'Plot By Plot SoA'!E320</f>
        <v>639.37565999999993</v>
      </c>
      <c r="E62" s="165"/>
      <c r="F62" s="87"/>
      <c r="G62" s="87"/>
      <c r="H62" s="62" t="str">
        <f>'Plot By Plot SoA'!J320</f>
        <v>Y</v>
      </c>
      <c r="I62" s="54"/>
      <c r="J62" s="64"/>
      <c r="K62" s="166"/>
      <c r="L62" s="166">
        <f>'Plot By Plot SoA'!N320</f>
        <v>0</v>
      </c>
      <c r="M62" s="166"/>
      <c r="N62" s="54"/>
    </row>
    <row r="63" spans="1:14" s="30" customFormat="1" ht="39" customHeight="1" thickBot="1" x14ac:dyDescent="0.4">
      <c r="A63" s="146" t="s">
        <v>50</v>
      </c>
      <c r="B63" s="134">
        <f>COUNTA(B41:B62)</f>
        <v>22</v>
      </c>
      <c r="C63" s="168">
        <f>SUM(C41:C62)</f>
        <v>1191.6999999999998</v>
      </c>
      <c r="D63" s="133">
        <f>SUM(C63*10.7639)</f>
        <v>12827.339629999997</v>
      </c>
      <c r="E63" s="130">
        <f t="shared" ref="E63:N63" si="1">COUNTA(E41:E62)</f>
        <v>0</v>
      </c>
      <c r="F63" s="147">
        <f t="shared" si="1"/>
        <v>0</v>
      </c>
      <c r="G63" s="130">
        <f t="shared" si="1"/>
        <v>11</v>
      </c>
      <c r="H63" s="147">
        <f t="shared" si="1"/>
        <v>11</v>
      </c>
      <c r="I63" s="149">
        <f t="shared" si="1"/>
        <v>0</v>
      </c>
      <c r="J63" s="130">
        <f t="shared" si="1"/>
        <v>10</v>
      </c>
      <c r="K63" s="147">
        <f t="shared" si="1"/>
        <v>11</v>
      </c>
      <c r="L63" s="147">
        <f t="shared" si="1"/>
        <v>1</v>
      </c>
      <c r="M63" s="130">
        <f t="shared" si="1"/>
        <v>0</v>
      </c>
      <c r="N63" s="149">
        <f t="shared" si="1"/>
        <v>0</v>
      </c>
    </row>
    <row r="64" spans="1:14" s="30" customFormat="1" ht="45.75" thickBot="1" x14ac:dyDescent="0.4">
      <c r="A64" s="981"/>
      <c r="B64" s="69" t="s">
        <v>5</v>
      </c>
      <c r="C64" s="169"/>
      <c r="D64" s="170"/>
      <c r="E64" s="12">
        <f t="shared" ref="E64:N64" si="2">COUNTA(E41:E62,E6:E38)</f>
        <v>0</v>
      </c>
      <c r="F64" s="12">
        <f t="shared" si="2"/>
        <v>0</v>
      </c>
      <c r="G64" s="12">
        <f t="shared" si="2"/>
        <v>32</v>
      </c>
      <c r="H64" s="12">
        <f t="shared" si="2"/>
        <v>23</v>
      </c>
      <c r="I64" s="123">
        <f t="shared" si="2"/>
        <v>0</v>
      </c>
      <c r="J64" s="122">
        <f t="shared" si="2"/>
        <v>22</v>
      </c>
      <c r="K64" s="122">
        <f t="shared" si="2"/>
        <v>32</v>
      </c>
      <c r="L64" s="122">
        <f t="shared" si="2"/>
        <v>1</v>
      </c>
      <c r="M64" s="122">
        <f t="shared" si="2"/>
        <v>0</v>
      </c>
      <c r="N64" s="132">
        <f t="shared" si="2"/>
        <v>0</v>
      </c>
    </row>
    <row r="65" spans="1:20" s="30" customFormat="1" ht="30.75" thickBot="1" x14ac:dyDescent="0.4">
      <c r="A65" s="982"/>
      <c r="B65" s="70" t="s">
        <v>6</v>
      </c>
      <c r="C65" s="972">
        <f>SUM(C41:C62,C6:C38)</f>
        <v>4228.0999999999995</v>
      </c>
      <c r="D65" s="973"/>
      <c r="E65" s="973"/>
      <c r="F65" s="973"/>
      <c r="G65" s="973"/>
      <c r="H65" s="973"/>
      <c r="I65" s="974"/>
      <c r="J65" s="72">
        <f>SUM(1/J66*J64)</f>
        <v>0.39999999999999997</v>
      </c>
      <c r="K65" s="73">
        <f>SUM(1/J66*K64)</f>
        <v>0.58181818181818179</v>
      </c>
      <c r="L65" s="73">
        <f>SUM(1/J66*L64)</f>
        <v>1.8181818181818181E-2</v>
      </c>
      <c r="M65" s="73">
        <f>SUM(1/J66*M64)</f>
        <v>0</v>
      </c>
      <c r="N65" s="74">
        <f>SUM(1/J66*N64)</f>
        <v>0</v>
      </c>
    </row>
    <row r="66" spans="1:20" s="30" customFormat="1" ht="45.75" thickBot="1" x14ac:dyDescent="0.4">
      <c r="A66" s="983"/>
      <c r="B66" s="71" t="s">
        <v>8</v>
      </c>
      <c r="C66" s="774">
        <f>SUM(C65*10.7639)</f>
        <v>45510.84558999999</v>
      </c>
      <c r="D66" s="775"/>
      <c r="E66" s="775"/>
      <c r="F66" s="775"/>
      <c r="G66" s="775"/>
      <c r="H66" s="775"/>
      <c r="I66" s="776"/>
      <c r="J66" s="975">
        <f>SUM(J64:N64)</f>
        <v>55</v>
      </c>
      <c r="K66" s="976"/>
      <c r="L66" s="976"/>
      <c r="M66" s="976"/>
      <c r="N66" s="977"/>
    </row>
    <row r="67" spans="1:20" s="30" customFormat="1" ht="15.75" thickBot="1" x14ac:dyDescent="0.4">
      <c r="P67" s="988" t="s">
        <v>53</v>
      </c>
      <c r="Q67" s="989"/>
      <c r="R67" s="989"/>
      <c r="S67" s="989"/>
      <c r="T67" s="990"/>
    </row>
    <row r="68" spans="1:20" s="30" customFormat="1" ht="30" x14ac:dyDescent="0.35">
      <c r="P68" s="182"/>
      <c r="Q68" s="191" t="s">
        <v>54</v>
      </c>
      <c r="R68" s="191" t="s">
        <v>17</v>
      </c>
      <c r="S68" s="192" t="s">
        <v>18</v>
      </c>
      <c r="T68" s="183" t="s">
        <v>55</v>
      </c>
    </row>
    <row r="69" spans="1:20" s="30" customFormat="1" x14ac:dyDescent="0.35">
      <c r="P69" s="180" t="s">
        <v>29</v>
      </c>
      <c r="Q69" s="128">
        <f>SUM(Q42,Q7)</f>
        <v>0</v>
      </c>
      <c r="R69" s="128">
        <f>SUM(R42,R7)</f>
        <v>0</v>
      </c>
      <c r="S69" s="126">
        <f>SUM(S42,S7)</f>
        <v>22</v>
      </c>
      <c r="T69" s="94">
        <f>SUM(Q69:S69)</f>
        <v>22</v>
      </c>
    </row>
    <row r="70" spans="1:20" s="30" customFormat="1" x14ac:dyDescent="0.35">
      <c r="P70" s="180" t="s">
        <v>30</v>
      </c>
      <c r="Q70" s="128">
        <f t="shared" ref="Q70:S71" si="3">SUM(Q43,Q8)</f>
        <v>0</v>
      </c>
      <c r="R70" s="128">
        <f t="shared" si="3"/>
        <v>32</v>
      </c>
      <c r="S70" s="93">
        <f t="shared" si="3"/>
        <v>0</v>
      </c>
      <c r="T70" s="94">
        <f>SUM(Q70:S70)</f>
        <v>32</v>
      </c>
    </row>
    <row r="71" spans="1:20" s="30" customFormat="1" ht="15.75" thickBot="1" x14ac:dyDescent="0.4">
      <c r="P71" s="190" t="s">
        <v>31</v>
      </c>
      <c r="Q71" s="193">
        <f t="shared" si="3"/>
        <v>0</v>
      </c>
      <c r="R71" s="186">
        <f t="shared" si="3"/>
        <v>0</v>
      </c>
      <c r="S71" s="187">
        <f t="shared" si="3"/>
        <v>1</v>
      </c>
      <c r="T71" s="94">
        <f>SUM(Q71:S71)</f>
        <v>1</v>
      </c>
    </row>
    <row r="72" spans="1:20" s="30" customFormat="1" ht="15.75" thickBot="1" x14ac:dyDescent="0.4">
      <c r="P72" s="181" t="s">
        <v>55</v>
      </c>
      <c r="Q72" s="179">
        <f>SUM(Q69:Q71)</f>
        <v>0</v>
      </c>
      <c r="R72" s="179">
        <f>SUM(R69:R71)</f>
        <v>32</v>
      </c>
      <c r="S72" s="179">
        <f>SUM(S69:S71)</f>
        <v>23</v>
      </c>
      <c r="T72" s="178">
        <f>SUM(Q72:S72)</f>
        <v>55</v>
      </c>
    </row>
    <row r="73" spans="1:20" s="30" customFormat="1" x14ac:dyDescent="0.35"/>
    <row r="74" spans="1:20" s="30" customFormat="1" x14ac:dyDescent="0.35"/>
    <row r="75" spans="1:20" s="30" customFormat="1" x14ac:dyDescent="0.35"/>
    <row r="76" spans="1:20" s="30" customFormat="1" x14ac:dyDescent="0.35"/>
    <row r="77" spans="1:20" s="30" customFormat="1" x14ac:dyDescent="0.35"/>
    <row r="78" spans="1:20" s="30" customFormat="1" x14ac:dyDescent="0.35"/>
    <row r="79" spans="1:20" s="30" customFormat="1" x14ac:dyDescent="0.35"/>
    <row r="80" spans="1:20" s="30" customFormat="1" x14ac:dyDescent="0.35"/>
    <row r="81" s="30" customFormat="1" x14ac:dyDescent="0.35"/>
    <row r="82" s="30" customFormat="1" x14ac:dyDescent="0.35"/>
    <row r="83" s="30" customFormat="1" x14ac:dyDescent="0.35"/>
    <row r="84" s="30" customFormat="1" x14ac:dyDescent="0.35"/>
    <row r="85" s="30" customFormat="1" x14ac:dyDescent="0.35"/>
    <row r="86" s="30" customFormat="1" x14ac:dyDescent="0.35"/>
    <row r="87" s="30" customFormat="1" x14ac:dyDescent="0.35"/>
    <row r="88" s="30" customFormat="1" x14ac:dyDescent="0.35"/>
    <row r="89" s="30" customFormat="1" x14ac:dyDescent="0.35"/>
    <row r="90" s="30" customFormat="1" x14ac:dyDescent="0.35"/>
    <row r="91" s="30" customFormat="1" x14ac:dyDescent="0.35"/>
    <row r="92" s="30" customFormat="1" x14ac:dyDescent="0.35"/>
  </sheetData>
  <mergeCells count="19">
    <mergeCell ref="A1:A2"/>
    <mergeCell ref="B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N4"/>
    <mergeCell ref="J66:N66"/>
    <mergeCell ref="P67:T67"/>
    <mergeCell ref="P40:T40"/>
    <mergeCell ref="A64:A66"/>
    <mergeCell ref="P5:T5"/>
    <mergeCell ref="C65:I65"/>
    <mergeCell ref="C66:I66"/>
  </mergeCells>
  <pageMargins left="0.7" right="0.7" top="0.75" bottom="0.75" header="0.3" footer="0.3"/>
  <pageSetup paperSize="8" scale="69" fitToHeight="0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DFC4-85BF-4648-A50D-BA0D09C85E49}">
  <sheetPr>
    <pageSetUpPr fitToPage="1"/>
  </sheetPr>
  <dimension ref="A1:T111"/>
  <sheetViews>
    <sheetView workbookViewId="0">
      <selection activeCell="I25" sqref="I25"/>
    </sheetView>
  </sheetViews>
  <sheetFormatPr defaultRowHeight="15" x14ac:dyDescent="0.25"/>
  <cols>
    <col min="1" max="1" width="14.85546875" customWidth="1"/>
    <col min="2" max="2" width="10" customWidth="1"/>
    <col min="6" max="6" width="11.140625" customWidth="1"/>
    <col min="16" max="16" width="5" bestFit="1" customWidth="1"/>
    <col min="17" max="17" width="9.85546875" bestFit="1" customWidth="1"/>
  </cols>
  <sheetData>
    <row r="1" spans="1:20" x14ac:dyDescent="0.25">
      <c r="A1" s="889"/>
      <c r="B1" s="882" t="s">
        <v>38</v>
      </c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3"/>
    </row>
    <row r="2" spans="1:20" ht="15.75" thickBot="1" x14ac:dyDescent="0.3">
      <c r="A2" s="890"/>
      <c r="B2" s="883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5"/>
    </row>
    <row r="3" spans="1:20" x14ac:dyDescent="0.25">
      <c r="A3" s="890"/>
      <c r="B3" s="892" t="s">
        <v>0</v>
      </c>
      <c r="C3" s="712" t="s">
        <v>4</v>
      </c>
      <c r="D3" s="986" t="s">
        <v>19</v>
      </c>
      <c r="E3" s="720" t="s">
        <v>16</v>
      </c>
      <c r="F3" s="720" t="s">
        <v>3</v>
      </c>
      <c r="G3" s="720" t="s">
        <v>17</v>
      </c>
      <c r="H3" s="722" t="s">
        <v>18</v>
      </c>
      <c r="I3" s="984" t="s">
        <v>1</v>
      </c>
      <c r="J3" s="884" t="s">
        <v>2</v>
      </c>
      <c r="K3" s="714"/>
      <c r="L3" s="714"/>
      <c r="M3" s="714"/>
      <c r="N3" s="715"/>
    </row>
    <row r="4" spans="1:20" ht="15.75" thickBot="1" x14ac:dyDescent="0.3">
      <c r="A4" s="891"/>
      <c r="B4" s="893"/>
      <c r="C4" s="713"/>
      <c r="D4" s="987"/>
      <c r="E4" s="721"/>
      <c r="F4" s="721"/>
      <c r="G4" s="721"/>
      <c r="H4" s="723"/>
      <c r="I4" s="985"/>
      <c r="J4" s="885"/>
      <c r="K4" s="716"/>
      <c r="L4" s="716"/>
      <c r="M4" s="716"/>
      <c r="N4" s="717"/>
    </row>
    <row r="5" spans="1:20" ht="15.75" thickTop="1" x14ac:dyDescent="0.25">
      <c r="A5" s="76" t="s">
        <v>51</v>
      </c>
      <c r="B5" s="75"/>
      <c r="C5" s="84"/>
      <c r="D5" s="86"/>
      <c r="E5" s="85"/>
      <c r="F5" s="83"/>
      <c r="G5" s="83"/>
      <c r="H5" s="82"/>
      <c r="I5" s="77"/>
      <c r="J5" s="78">
        <v>1</v>
      </c>
      <c r="K5" s="79">
        <v>2</v>
      </c>
      <c r="L5" s="79">
        <v>3</v>
      </c>
      <c r="M5" s="81">
        <v>4</v>
      </c>
      <c r="N5" s="80">
        <v>5</v>
      </c>
      <c r="P5" s="978" t="s">
        <v>61</v>
      </c>
      <c r="Q5" s="979"/>
      <c r="R5" s="979"/>
      <c r="S5" s="979"/>
      <c r="T5" s="980"/>
    </row>
    <row r="6" spans="1:20" s="128" customFormat="1" x14ac:dyDescent="0.25">
      <c r="A6" s="110">
        <v>1</v>
      </c>
      <c r="B6" s="89">
        <f>'Plot By Plot SoA'!C88</f>
        <v>75</v>
      </c>
      <c r="C6" s="128">
        <f>'Plot By Plot SoA'!D88</f>
        <v>54.1</v>
      </c>
      <c r="D6" s="114">
        <f>'Plot By Plot SoA'!E88</f>
        <v>582.32699000000002</v>
      </c>
      <c r="E6" s="125"/>
      <c r="F6" s="96"/>
      <c r="G6" s="96"/>
      <c r="H6" s="195">
        <f>'Plot By Plot SoA'!J88</f>
        <v>0</v>
      </c>
      <c r="I6" s="113"/>
      <c r="J6" s="95" t="str">
        <f>'Plot By Plot SoA'!L88</f>
        <v>Y</v>
      </c>
      <c r="K6" s="96"/>
      <c r="L6" s="96"/>
      <c r="M6" s="96"/>
      <c r="N6" s="94"/>
      <c r="P6" s="189"/>
      <c r="Q6" s="184" t="s">
        <v>57</v>
      </c>
      <c r="R6" s="184" t="s">
        <v>58</v>
      </c>
      <c r="S6" s="185" t="s">
        <v>59</v>
      </c>
      <c r="T6" s="188" t="s">
        <v>55</v>
      </c>
    </row>
    <row r="7" spans="1:20" s="128" customFormat="1" x14ac:dyDescent="0.25">
      <c r="A7" s="88">
        <v>2</v>
      </c>
      <c r="B7" s="98">
        <f>'Plot By Plot SoA'!C89</f>
        <v>76</v>
      </c>
      <c r="C7" s="128">
        <f>'Plot By Plot SoA'!D89</f>
        <v>93.3</v>
      </c>
      <c r="D7" s="127">
        <f>'Plot By Plot SoA'!E89</f>
        <v>1004.2718699999999</v>
      </c>
      <c r="E7" s="90"/>
      <c r="F7" s="97"/>
      <c r="G7" s="97"/>
      <c r="H7" s="100">
        <f>'Plot By Plot SoA'!J89</f>
        <v>0</v>
      </c>
      <c r="I7" s="94"/>
      <c r="J7" s="99">
        <f>'Plot By Plot SoA'!L89</f>
        <v>0</v>
      </c>
      <c r="K7" s="97"/>
      <c r="L7" s="97"/>
      <c r="M7" s="97"/>
      <c r="N7" s="94"/>
      <c r="P7" s="180" t="s">
        <v>29</v>
      </c>
      <c r="Q7" s="128">
        <v>0</v>
      </c>
      <c r="R7" s="128">
        <v>0</v>
      </c>
      <c r="S7" s="93">
        <v>5</v>
      </c>
      <c r="T7" s="94">
        <f>SUM(Q7:S7)</f>
        <v>5</v>
      </c>
    </row>
    <row r="8" spans="1:20" s="128" customFormat="1" x14ac:dyDescent="0.25">
      <c r="A8" s="88">
        <v>3</v>
      </c>
      <c r="B8" s="98">
        <f>'Plot By Plot SoA'!C90</f>
        <v>77</v>
      </c>
      <c r="C8" s="128">
        <f>'Plot By Plot SoA'!D90</f>
        <v>72.7</v>
      </c>
      <c r="D8" s="127">
        <f>'Plot By Plot SoA'!E90</f>
        <v>782.53552999999999</v>
      </c>
      <c r="E8" s="90"/>
      <c r="F8" s="97"/>
      <c r="G8" s="97"/>
      <c r="H8" s="100">
        <f>'Plot By Plot SoA'!J90</f>
        <v>0</v>
      </c>
      <c r="I8" s="94"/>
      <c r="J8" s="99"/>
      <c r="K8" s="97" t="str">
        <f>'Plot By Plot SoA'!M90</f>
        <v>Y</v>
      </c>
      <c r="L8" s="97"/>
      <c r="M8" s="97"/>
      <c r="N8" s="94"/>
      <c r="P8" s="180" t="s">
        <v>30</v>
      </c>
      <c r="Q8" s="128">
        <v>0</v>
      </c>
      <c r="R8" s="128">
        <v>0</v>
      </c>
      <c r="S8" s="93">
        <v>3</v>
      </c>
      <c r="T8" s="94">
        <f>SUM(Q8:S8)</f>
        <v>3</v>
      </c>
    </row>
    <row r="9" spans="1:20" s="128" customFormat="1" ht="15.75" thickBot="1" x14ac:dyDescent="0.3">
      <c r="A9" s="88">
        <v>4</v>
      </c>
      <c r="B9" s="98">
        <f>'Plot By Plot SoA'!C91</f>
        <v>78</v>
      </c>
      <c r="C9" s="128">
        <f>'Plot By Plot SoA'!D91</f>
        <v>78.599999999999994</v>
      </c>
      <c r="D9" s="127">
        <f>'Plot By Plot SoA'!E91</f>
        <v>846.04253999999992</v>
      </c>
      <c r="E9" s="90"/>
      <c r="F9" s="97"/>
      <c r="G9" s="97"/>
      <c r="H9" s="100">
        <f>'Plot By Plot SoA'!J91</f>
        <v>0</v>
      </c>
      <c r="I9" s="94"/>
      <c r="J9" s="99">
        <f>'Plot By Plot SoA'!L91</f>
        <v>0</v>
      </c>
      <c r="K9" s="97"/>
      <c r="L9" s="97"/>
      <c r="M9" s="97"/>
      <c r="N9" s="94"/>
      <c r="P9" s="190" t="s">
        <v>31</v>
      </c>
      <c r="Q9" s="186">
        <v>0</v>
      </c>
      <c r="R9" s="186">
        <v>0</v>
      </c>
      <c r="S9" s="187">
        <v>0</v>
      </c>
      <c r="T9" s="94">
        <f>SUM(Q9:S9)</f>
        <v>0</v>
      </c>
    </row>
    <row r="10" spans="1:20" s="128" customFormat="1" ht="15.75" thickBot="1" x14ac:dyDescent="0.3">
      <c r="A10" s="88">
        <v>5</v>
      </c>
      <c r="B10" s="98">
        <f>'Plot By Plot SoA'!C92</f>
        <v>79</v>
      </c>
      <c r="C10" s="128">
        <f>'Plot By Plot SoA'!D92</f>
        <v>84.7</v>
      </c>
      <c r="D10" s="127">
        <f>'Plot By Plot SoA'!E92</f>
        <v>911.70232999999996</v>
      </c>
      <c r="E10" s="90"/>
      <c r="F10" s="97"/>
      <c r="G10" s="97"/>
      <c r="H10" s="100">
        <f>'Plot By Plot SoA'!J92</f>
        <v>0</v>
      </c>
      <c r="I10" s="94"/>
      <c r="J10" s="99"/>
      <c r="K10" s="97">
        <f>'Plot By Plot SoA'!M92</f>
        <v>0</v>
      </c>
      <c r="L10" s="97"/>
      <c r="M10" s="97"/>
      <c r="N10" s="94"/>
      <c r="P10" s="181" t="s">
        <v>55</v>
      </c>
      <c r="Q10" s="179">
        <f>SUM(Q7:Q9)</f>
        <v>0</v>
      </c>
      <c r="R10" s="179">
        <f>SUM(R7:R9)</f>
        <v>0</v>
      </c>
      <c r="S10" s="179">
        <f>SUM(S7:S9)</f>
        <v>8</v>
      </c>
      <c r="T10" s="178">
        <f>SUM(Q10:S10)</f>
        <v>8</v>
      </c>
    </row>
    <row r="11" spans="1:20" s="128" customFormat="1" x14ac:dyDescent="0.25">
      <c r="A11" s="88">
        <v>6</v>
      </c>
      <c r="B11" s="98">
        <f>'Plot By Plot SoA'!C93</f>
        <v>80</v>
      </c>
      <c r="C11" s="128">
        <f>'Plot By Plot SoA'!D93</f>
        <v>84.7</v>
      </c>
      <c r="D11" s="127">
        <f>'Plot By Plot SoA'!E93</f>
        <v>911.70232999999996</v>
      </c>
      <c r="E11" s="90"/>
      <c r="F11" s="97"/>
      <c r="G11" s="97"/>
      <c r="H11" s="100">
        <f>'Plot By Plot SoA'!J93</f>
        <v>0</v>
      </c>
      <c r="I11" s="94"/>
      <c r="J11" s="99">
        <f>'Plot By Plot SoA'!L93</f>
        <v>0</v>
      </c>
      <c r="K11" s="97"/>
      <c r="L11" s="97"/>
      <c r="M11" s="97"/>
      <c r="N11" s="94"/>
    </row>
    <row r="12" spans="1:20" s="128" customFormat="1" x14ac:dyDescent="0.25">
      <c r="A12" s="88">
        <v>7</v>
      </c>
      <c r="B12" s="98">
        <f>'Plot By Plot SoA'!C94</f>
        <v>81</v>
      </c>
      <c r="C12" s="128">
        <f>'Plot By Plot SoA'!D94</f>
        <v>49.3</v>
      </c>
      <c r="D12" s="127">
        <f>'Plot By Plot SoA'!E94</f>
        <v>530.66026999999997</v>
      </c>
      <c r="E12" s="90"/>
      <c r="F12" s="97"/>
      <c r="G12" s="97"/>
      <c r="H12" s="100">
        <f>'Plot By Plot SoA'!J94</f>
        <v>0</v>
      </c>
      <c r="I12" s="94"/>
      <c r="J12" s="99"/>
      <c r="K12" s="97">
        <f>'Plot By Plot SoA'!M94</f>
        <v>0</v>
      </c>
      <c r="L12" s="97"/>
      <c r="M12" s="97"/>
      <c r="N12" s="94"/>
    </row>
    <row r="13" spans="1:20" s="128" customFormat="1" ht="15.75" thickBot="1" x14ac:dyDescent="0.3">
      <c r="A13" s="101">
        <v>8</v>
      </c>
      <c r="B13" s="102" t="e">
        <f>'Plot By Plot SoA'!#REF!</f>
        <v>#REF!</v>
      </c>
      <c r="C13" s="128" t="e">
        <f>'Plot By Plot SoA'!#REF!</f>
        <v>#REF!</v>
      </c>
      <c r="D13" s="129" t="e">
        <f>'Plot By Plot SoA'!#REF!</f>
        <v>#REF!</v>
      </c>
      <c r="E13" s="103"/>
      <c r="F13" s="109"/>
      <c r="G13" s="109"/>
      <c r="H13" s="104" t="e">
        <f>'Plot By Plot SoA'!#REF!</f>
        <v>#REF!</v>
      </c>
      <c r="I13" s="107"/>
      <c r="J13" s="108" t="e">
        <f>'Plot By Plot SoA'!#REF!</f>
        <v>#REF!</v>
      </c>
      <c r="K13" s="109"/>
      <c r="L13" s="109"/>
      <c r="M13" s="109"/>
      <c r="N13" s="94"/>
    </row>
    <row r="14" spans="1:20" s="128" customFormat="1" ht="39" customHeight="1" thickBot="1" x14ac:dyDescent="0.3">
      <c r="A14" s="162" t="s">
        <v>50</v>
      </c>
      <c r="B14" s="194">
        <f>COUNTA(B6:B13)</f>
        <v>8</v>
      </c>
      <c r="C14" s="148" t="e">
        <f>SUM(C6:C13)</f>
        <v>#REF!</v>
      </c>
      <c r="D14" s="133" t="e">
        <f>SUM(C14*10.7639)</f>
        <v>#REF!</v>
      </c>
      <c r="E14" s="130">
        <f>COUNTA(E6:E13)</f>
        <v>0</v>
      </c>
      <c r="F14" s="130">
        <f t="shared" ref="F14:N14" si="0">COUNTA(F6:F13)</f>
        <v>0</v>
      </c>
      <c r="G14" s="130">
        <f t="shared" si="0"/>
        <v>0</v>
      </c>
      <c r="H14" s="130">
        <f t="shared" si="0"/>
        <v>8</v>
      </c>
      <c r="I14" s="130">
        <f t="shared" si="0"/>
        <v>0</v>
      </c>
      <c r="J14" s="130">
        <f t="shared" si="0"/>
        <v>5</v>
      </c>
      <c r="K14" s="130">
        <f t="shared" si="0"/>
        <v>3</v>
      </c>
      <c r="L14" s="130">
        <f t="shared" si="0"/>
        <v>0</v>
      </c>
      <c r="M14" s="130">
        <f t="shared" si="0"/>
        <v>0</v>
      </c>
      <c r="N14" s="131">
        <f t="shared" si="0"/>
        <v>0</v>
      </c>
    </row>
    <row r="15" spans="1:20" s="128" customFormat="1" ht="15.75" thickTop="1" x14ac:dyDescent="0.25">
      <c r="A15" s="76" t="s">
        <v>47</v>
      </c>
      <c r="B15" s="26"/>
      <c r="C15" s="171"/>
      <c r="D15" s="172"/>
      <c r="E15" s="173"/>
      <c r="F15" s="174"/>
      <c r="G15" s="174"/>
      <c r="H15" s="175"/>
      <c r="I15" s="1"/>
      <c r="J15" s="3">
        <v>1</v>
      </c>
      <c r="K15" s="4">
        <v>2</v>
      </c>
      <c r="L15" s="4">
        <v>3</v>
      </c>
      <c r="M15" s="176">
        <v>4</v>
      </c>
      <c r="N15" s="5">
        <v>5</v>
      </c>
      <c r="P15" s="978" t="s">
        <v>62</v>
      </c>
      <c r="Q15" s="979"/>
      <c r="R15" s="979"/>
      <c r="S15" s="979"/>
      <c r="T15" s="980"/>
    </row>
    <row r="16" spans="1:20" s="128" customFormat="1" x14ac:dyDescent="0.25">
      <c r="A16" s="110">
        <v>9</v>
      </c>
      <c r="B16" s="98">
        <f>'Plot By Plot SoA'!C98</f>
        <v>85</v>
      </c>
      <c r="C16" s="92">
        <f>'Plot By Plot SoA'!D98</f>
        <v>78</v>
      </c>
      <c r="D16" s="127">
        <f>'Plot By Plot SoA'!E98</f>
        <v>839.58420000000001</v>
      </c>
      <c r="E16" s="90"/>
      <c r="F16" s="97"/>
      <c r="G16" s="97"/>
      <c r="H16" s="93">
        <f>'Plot By Plot SoA'!J98</f>
        <v>0</v>
      </c>
      <c r="I16" s="94"/>
      <c r="J16" s="99">
        <f>'Plot By Plot SoA'!L98</f>
        <v>0</v>
      </c>
      <c r="K16" s="92"/>
      <c r="L16" s="92"/>
      <c r="M16" s="92"/>
      <c r="N16" s="94"/>
      <c r="P16" s="189"/>
      <c r="Q16" s="184" t="s">
        <v>57</v>
      </c>
      <c r="R16" s="184" t="s">
        <v>58</v>
      </c>
      <c r="S16" s="185" t="s">
        <v>59</v>
      </c>
      <c r="T16" s="188" t="s">
        <v>55</v>
      </c>
    </row>
    <row r="17" spans="1:20" s="128" customFormat="1" x14ac:dyDescent="0.25">
      <c r="A17" s="88">
        <v>10</v>
      </c>
      <c r="B17" s="98">
        <f>'Plot By Plot SoA'!C99</f>
        <v>86</v>
      </c>
      <c r="C17" s="92">
        <f>'Plot By Plot SoA'!D99</f>
        <v>78</v>
      </c>
      <c r="D17" s="127">
        <f>'Plot By Plot SoA'!E99</f>
        <v>839.58420000000001</v>
      </c>
      <c r="E17" s="90"/>
      <c r="F17" s="97"/>
      <c r="G17" s="97"/>
      <c r="H17" s="93">
        <f>'Plot By Plot SoA'!J99</f>
        <v>0</v>
      </c>
      <c r="I17" s="94"/>
      <c r="J17" s="99">
        <f>'Plot By Plot SoA'!L99</f>
        <v>0</v>
      </c>
      <c r="K17" s="92"/>
      <c r="L17" s="92"/>
      <c r="M17" s="92"/>
      <c r="N17" s="94"/>
      <c r="P17" s="180" t="s">
        <v>29</v>
      </c>
      <c r="Q17" s="128">
        <v>0</v>
      </c>
      <c r="R17" s="128">
        <v>0</v>
      </c>
      <c r="S17" s="93">
        <v>12</v>
      </c>
      <c r="T17" s="94">
        <f>SUM(Q17:S17)</f>
        <v>12</v>
      </c>
    </row>
    <row r="18" spans="1:20" s="128" customFormat="1" x14ac:dyDescent="0.25">
      <c r="A18" s="88">
        <v>11</v>
      </c>
      <c r="B18" s="98">
        <f>'Plot By Plot SoA'!C100</f>
        <v>87</v>
      </c>
      <c r="C18" s="92">
        <f>'Plot By Plot SoA'!D100</f>
        <v>99.1</v>
      </c>
      <c r="D18" s="127">
        <f>'Plot By Plot SoA'!E100</f>
        <v>1066.7024899999999</v>
      </c>
      <c r="E18" s="90"/>
      <c r="F18" s="97"/>
      <c r="G18" s="97"/>
      <c r="H18" s="93">
        <f>'Plot By Plot SoA'!J100</f>
        <v>0</v>
      </c>
      <c r="I18" s="94"/>
      <c r="J18" s="99">
        <f>'Plot By Plot SoA'!L100</f>
        <v>0</v>
      </c>
      <c r="K18" s="92"/>
      <c r="L18" s="92"/>
      <c r="M18" s="92"/>
      <c r="N18" s="94"/>
      <c r="P18" s="180" t="s">
        <v>30</v>
      </c>
      <c r="Q18" s="128">
        <v>2</v>
      </c>
      <c r="R18" s="128">
        <v>21</v>
      </c>
      <c r="S18" s="93">
        <v>0</v>
      </c>
      <c r="T18" s="94">
        <f>SUM(Q18:S18)</f>
        <v>23</v>
      </c>
    </row>
    <row r="19" spans="1:20" s="128" customFormat="1" ht="15.75" thickBot="1" x14ac:dyDescent="0.3">
      <c r="A19" s="88">
        <v>12</v>
      </c>
      <c r="B19" s="98">
        <f>'Plot By Plot SoA'!C102</f>
        <v>88</v>
      </c>
      <c r="C19" s="92">
        <f>'Plot By Plot SoA'!D102</f>
        <v>131.4</v>
      </c>
      <c r="D19" s="127">
        <f>'Plot By Plot SoA'!E102</f>
        <v>1414.37646</v>
      </c>
      <c r="E19" s="90"/>
      <c r="F19" s="97"/>
      <c r="G19" s="97"/>
      <c r="H19" s="93">
        <f>'Plot By Plot SoA'!J102</f>
        <v>0</v>
      </c>
      <c r="I19" s="94"/>
      <c r="J19" s="99">
        <f>'Plot By Plot SoA'!L102</f>
        <v>0</v>
      </c>
      <c r="K19" s="92"/>
      <c r="L19" s="92"/>
      <c r="M19" s="92"/>
      <c r="N19" s="94"/>
      <c r="P19" s="190" t="s">
        <v>31</v>
      </c>
      <c r="Q19" s="186">
        <v>0</v>
      </c>
      <c r="R19" s="186">
        <v>0</v>
      </c>
      <c r="S19" s="187">
        <v>0</v>
      </c>
      <c r="T19" s="94">
        <f>SUM(Q19:S19)</f>
        <v>0</v>
      </c>
    </row>
    <row r="20" spans="1:20" s="128" customFormat="1" ht="15.75" thickBot="1" x14ac:dyDescent="0.3">
      <c r="A20" s="88">
        <v>13</v>
      </c>
      <c r="B20" s="98">
        <f>'Plot By Plot SoA'!C104</f>
        <v>89</v>
      </c>
      <c r="C20" s="92">
        <f>'Plot By Plot SoA'!D104</f>
        <v>131.4</v>
      </c>
      <c r="D20" s="127">
        <f>'Plot By Plot SoA'!E104</f>
        <v>1414.37646</v>
      </c>
      <c r="E20" s="90"/>
      <c r="F20" s="97"/>
      <c r="G20" s="97"/>
      <c r="H20" s="93">
        <f>'Plot By Plot SoA'!J104</f>
        <v>0</v>
      </c>
      <c r="I20" s="94"/>
      <c r="J20" s="99">
        <f>'Plot By Plot SoA'!L104</f>
        <v>0</v>
      </c>
      <c r="K20" s="92"/>
      <c r="L20" s="92"/>
      <c r="M20" s="97"/>
      <c r="N20" s="94"/>
      <c r="P20" s="181" t="s">
        <v>55</v>
      </c>
      <c r="Q20" s="179">
        <f>SUM(Q17:Q19)</f>
        <v>2</v>
      </c>
      <c r="R20" s="179">
        <f>SUM(R17:R19)</f>
        <v>21</v>
      </c>
      <c r="S20" s="179">
        <f>SUM(S17:S19)</f>
        <v>12</v>
      </c>
      <c r="T20" s="178">
        <f>SUM(Q20:S20)</f>
        <v>35</v>
      </c>
    </row>
    <row r="21" spans="1:20" s="128" customFormat="1" x14ac:dyDescent="0.25">
      <c r="A21" s="88">
        <v>14</v>
      </c>
      <c r="B21" s="98">
        <f>'Plot By Plot SoA'!C105</f>
        <v>90</v>
      </c>
      <c r="C21" s="92">
        <f>'Plot By Plot SoA'!D105</f>
        <v>77.099999999999994</v>
      </c>
      <c r="D21" s="127">
        <f>'Plot By Plot SoA'!E105</f>
        <v>829.89668999999992</v>
      </c>
      <c r="E21" s="90"/>
      <c r="F21" s="97"/>
      <c r="G21" s="97"/>
      <c r="H21" s="93">
        <f>'Plot By Plot SoA'!J105</f>
        <v>0</v>
      </c>
      <c r="I21" s="94"/>
      <c r="J21" s="99">
        <f>'Plot By Plot SoA'!L105</f>
        <v>0</v>
      </c>
      <c r="K21" s="92"/>
      <c r="L21" s="97"/>
      <c r="M21" s="97"/>
      <c r="N21" s="94"/>
    </row>
    <row r="22" spans="1:20" s="128" customFormat="1" x14ac:dyDescent="0.25">
      <c r="A22" s="88">
        <v>15</v>
      </c>
      <c r="B22" s="98">
        <f>'Plot By Plot SoA'!C106</f>
        <v>91</v>
      </c>
      <c r="C22" s="92">
        <f>'Plot By Plot SoA'!D106</f>
        <v>70</v>
      </c>
      <c r="D22" s="127">
        <f>'Plot By Plot SoA'!E106</f>
        <v>753.47299999999996</v>
      </c>
      <c r="E22" s="90"/>
      <c r="F22" s="97"/>
      <c r="G22" s="97"/>
      <c r="H22" s="93">
        <f>'Plot By Plot SoA'!J106</f>
        <v>0</v>
      </c>
      <c r="I22" s="94"/>
      <c r="J22" s="99">
        <f>'Plot By Plot SoA'!L106</f>
        <v>0</v>
      </c>
      <c r="K22" s="97"/>
      <c r="L22" s="97"/>
      <c r="M22" s="97"/>
      <c r="N22" s="94"/>
    </row>
    <row r="23" spans="1:20" s="128" customFormat="1" x14ac:dyDescent="0.25">
      <c r="A23" s="88">
        <v>16</v>
      </c>
      <c r="B23" s="98">
        <f>'Plot By Plot SoA'!C107</f>
        <v>92</v>
      </c>
      <c r="C23" s="92">
        <f>'Plot By Plot SoA'!D107</f>
        <v>70</v>
      </c>
      <c r="D23" s="127">
        <f>'Plot By Plot SoA'!E107</f>
        <v>753.47299999999996</v>
      </c>
      <c r="E23" s="90"/>
      <c r="F23" s="92"/>
      <c r="G23" s="97"/>
      <c r="H23" s="93">
        <f>'Plot By Plot SoA'!J107</f>
        <v>0</v>
      </c>
      <c r="I23" s="94"/>
      <c r="J23" s="99">
        <f>'Plot By Plot SoA'!L107</f>
        <v>0</v>
      </c>
      <c r="K23" s="97"/>
      <c r="L23" s="97"/>
      <c r="M23" s="97"/>
      <c r="N23" s="94"/>
    </row>
    <row r="24" spans="1:20" s="128" customFormat="1" x14ac:dyDescent="0.25">
      <c r="A24" s="88">
        <v>17</v>
      </c>
      <c r="B24" s="98">
        <f>'Plot By Plot SoA'!C108</f>
        <v>93</v>
      </c>
      <c r="C24" s="92">
        <f>'Plot By Plot SoA'!D108</f>
        <v>76.599999999999994</v>
      </c>
      <c r="D24" s="127">
        <f>'Plot By Plot SoA'!E108</f>
        <v>824.51473999999996</v>
      </c>
      <c r="E24" s="90"/>
      <c r="F24" s="92"/>
      <c r="G24" s="97"/>
      <c r="H24" s="93">
        <f>'Plot By Plot SoA'!J108</f>
        <v>0</v>
      </c>
      <c r="I24" s="94"/>
      <c r="J24" s="99">
        <f>'Plot By Plot SoA'!L108</f>
        <v>0</v>
      </c>
      <c r="K24" s="97"/>
      <c r="L24" s="97"/>
      <c r="M24" s="97"/>
      <c r="N24" s="94"/>
    </row>
    <row r="25" spans="1:20" s="128" customFormat="1" x14ac:dyDescent="0.25">
      <c r="A25" s="88">
        <v>18</v>
      </c>
      <c r="B25" s="98">
        <f>'Plot By Plot SoA'!C111</f>
        <v>95</v>
      </c>
      <c r="C25" s="92">
        <f>'Plot By Plot SoA'!D111</f>
        <v>80.3</v>
      </c>
      <c r="D25" s="127">
        <f>'Plot By Plot SoA'!E111</f>
        <v>864.34116999999992</v>
      </c>
      <c r="E25" s="90"/>
      <c r="F25" s="92"/>
      <c r="G25" s="97"/>
      <c r="H25" s="93">
        <f>'Plot By Plot SoA'!J111</f>
        <v>0</v>
      </c>
      <c r="I25" s="94"/>
      <c r="J25" s="99">
        <f>'Plot By Plot SoA'!L111</f>
        <v>0</v>
      </c>
      <c r="K25" s="97"/>
      <c r="L25" s="97"/>
      <c r="M25" s="97"/>
      <c r="N25" s="94"/>
    </row>
    <row r="26" spans="1:20" s="128" customFormat="1" x14ac:dyDescent="0.25">
      <c r="A26" s="88">
        <v>19</v>
      </c>
      <c r="B26" s="98">
        <f>'Plot By Plot SoA'!C112</f>
        <v>96</v>
      </c>
      <c r="C26" s="92">
        <f>'Plot By Plot SoA'!D112</f>
        <v>81</v>
      </c>
      <c r="D26" s="127">
        <f>'Plot By Plot SoA'!E112</f>
        <v>871.8759</v>
      </c>
      <c r="E26" s="90"/>
      <c r="F26" s="92"/>
      <c r="G26" s="97">
        <f>'Plot By Plot SoA'!I112</f>
        <v>0</v>
      </c>
      <c r="H26" s="93"/>
      <c r="I26" s="94"/>
      <c r="J26" s="99"/>
      <c r="K26" s="97">
        <f>'Plot By Plot SoA'!M112</f>
        <v>0</v>
      </c>
      <c r="L26" s="97"/>
      <c r="M26" s="97"/>
      <c r="N26" s="94"/>
    </row>
    <row r="27" spans="1:20" s="128" customFormat="1" x14ac:dyDescent="0.25">
      <c r="A27" s="88">
        <v>20</v>
      </c>
      <c r="B27" s="98">
        <f>'Plot By Plot SoA'!C117</f>
        <v>98</v>
      </c>
      <c r="C27" s="92">
        <f>'Plot By Plot SoA'!D117</f>
        <v>179.6</v>
      </c>
      <c r="D27" s="127">
        <f>'Plot By Plot SoA'!E117</f>
        <v>1933.1964399999999</v>
      </c>
      <c r="E27" s="90"/>
      <c r="F27" s="92"/>
      <c r="G27" s="97">
        <f>'Plot By Plot SoA'!I117</f>
        <v>0</v>
      </c>
      <c r="H27" s="93"/>
      <c r="I27" s="94"/>
      <c r="J27" s="99"/>
      <c r="K27" s="97">
        <f>'Plot By Plot SoA'!M117</f>
        <v>0</v>
      </c>
      <c r="L27" s="97"/>
      <c r="M27" s="97"/>
      <c r="N27" s="94"/>
    </row>
    <row r="28" spans="1:20" s="128" customFormat="1" x14ac:dyDescent="0.25">
      <c r="A28" s="88">
        <v>21</v>
      </c>
      <c r="B28" s="98">
        <f>'Plot By Plot SoA'!C121</f>
        <v>100</v>
      </c>
      <c r="C28" s="92">
        <f>'Plot By Plot SoA'!D121</f>
        <v>95</v>
      </c>
      <c r="D28" s="127">
        <f>'Plot By Plot SoA'!E121</f>
        <v>1022.5704999999999</v>
      </c>
      <c r="E28" s="90"/>
      <c r="F28" s="92"/>
      <c r="G28" s="97">
        <f>'Plot By Plot SoA'!I121</f>
        <v>0</v>
      </c>
      <c r="H28" s="93"/>
      <c r="I28" s="94"/>
      <c r="J28" s="99"/>
      <c r="K28" s="97" t="str">
        <f>'Plot By Plot SoA'!M121</f>
        <v>Y</v>
      </c>
      <c r="L28" s="97"/>
      <c r="M28" s="97"/>
      <c r="N28" s="94"/>
    </row>
    <row r="29" spans="1:20" s="128" customFormat="1" x14ac:dyDescent="0.25">
      <c r="A29" s="88">
        <v>22</v>
      </c>
      <c r="B29" s="98">
        <f>'Plot By Plot SoA'!C123</f>
        <v>102</v>
      </c>
      <c r="C29" s="92">
        <f>'Plot By Plot SoA'!D123</f>
        <v>83.1</v>
      </c>
      <c r="D29" s="127">
        <f>'Plot By Plot SoA'!E123</f>
        <v>894.4800899999999</v>
      </c>
      <c r="E29" s="90"/>
      <c r="F29" s="92"/>
      <c r="G29" s="97">
        <f>'Plot By Plot SoA'!I123</f>
        <v>0</v>
      </c>
      <c r="H29" s="93"/>
      <c r="I29" s="94"/>
      <c r="J29" s="99"/>
      <c r="K29" s="97">
        <f>'Plot By Plot SoA'!M123</f>
        <v>0</v>
      </c>
      <c r="L29" s="97"/>
      <c r="M29" s="97"/>
      <c r="N29" s="94"/>
    </row>
    <row r="30" spans="1:20" s="128" customFormat="1" x14ac:dyDescent="0.25">
      <c r="A30" s="88">
        <v>23</v>
      </c>
      <c r="B30" s="98">
        <f>'Plot By Plot SoA'!C126</f>
        <v>104</v>
      </c>
      <c r="C30" s="92">
        <f>'Plot By Plot SoA'!D126</f>
        <v>94.4</v>
      </c>
      <c r="D30" s="127">
        <f>'Plot By Plot SoA'!E126</f>
        <v>1016.11216</v>
      </c>
      <c r="E30" s="90"/>
      <c r="F30" s="92"/>
      <c r="G30" s="97">
        <f>'Plot By Plot SoA'!I126</f>
        <v>0</v>
      </c>
      <c r="H30" s="93"/>
      <c r="I30" s="94"/>
      <c r="J30" s="99"/>
      <c r="K30" s="97" t="str">
        <f>'Plot By Plot SoA'!M126</f>
        <v>Y</v>
      </c>
      <c r="L30" s="97"/>
      <c r="M30" s="97"/>
      <c r="N30" s="94"/>
    </row>
    <row r="31" spans="1:20" s="128" customFormat="1" x14ac:dyDescent="0.25">
      <c r="A31" s="88">
        <v>24</v>
      </c>
      <c r="B31" s="98">
        <f>'Plot By Plot SoA'!C129</f>
        <v>106</v>
      </c>
      <c r="C31" s="92">
        <f>'Plot By Plot SoA'!D129</f>
        <v>89.4</v>
      </c>
      <c r="D31" s="127">
        <f>'Plot By Plot SoA'!E129</f>
        <v>962.29266000000007</v>
      </c>
      <c r="E31" s="90"/>
      <c r="F31" s="92"/>
      <c r="G31" s="97">
        <f>'Plot By Plot SoA'!I129</f>
        <v>0</v>
      </c>
      <c r="H31" s="93"/>
      <c r="I31" s="94"/>
      <c r="J31" s="99"/>
      <c r="K31" s="97">
        <f>'Plot By Plot SoA'!M129</f>
        <v>0</v>
      </c>
      <c r="L31" s="97"/>
      <c r="M31" s="97"/>
      <c r="N31" s="94"/>
    </row>
    <row r="32" spans="1:20" s="128" customFormat="1" x14ac:dyDescent="0.25">
      <c r="A32" s="88">
        <v>25</v>
      </c>
      <c r="B32" s="98">
        <f>'Plot By Plot SoA'!C131</f>
        <v>108</v>
      </c>
      <c r="C32" s="92">
        <f>'Plot By Plot SoA'!D131</f>
        <v>108</v>
      </c>
      <c r="D32" s="127">
        <f>'Plot By Plot SoA'!E131</f>
        <v>1162.5011999999999</v>
      </c>
      <c r="E32" s="90"/>
      <c r="F32" s="92"/>
      <c r="G32" s="97">
        <f>'Plot By Plot SoA'!I131</f>
        <v>0</v>
      </c>
      <c r="H32" s="93"/>
      <c r="I32" s="94"/>
      <c r="J32" s="99"/>
      <c r="K32" s="97">
        <f>'Plot By Plot SoA'!M131</f>
        <v>0</v>
      </c>
      <c r="L32" s="97"/>
      <c r="M32" s="97"/>
      <c r="N32" s="94"/>
    </row>
    <row r="33" spans="1:14" s="128" customFormat="1" x14ac:dyDescent="0.25">
      <c r="A33" s="88">
        <v>26</v>
      </c>
      <c r="B33" s="98">
        <f>'Plot By Plot SoA'!C133</f>
        <v>110</v>
      </c>
      <c r="C33" s="92">
        <f>'Plot By Plot SoA'!D133</f>
        <v>72.900000000000006</v>
      </c>
      <c r="D33" s="127">
        <f>'Plot By Plot SoA'!E133</f>
        <v>784.68831</v>
      </c>
      <c r="E33" s="90"/>
      <c r="F33" s="92"/>
      <c r="G33" s="97">
        <f>'Plot By Plot SoA'!I133</f>
        <v>0</v>
      </c>
      <c r="H33" s="93"/>
      <c r="I33" s="94"/>
      <c r="J33" s="99"/>
      <c r="K33" s="97" t="str">
        <f>'Plot By Plot SoA'!M133</f>
        <v>Y</v>
      </c>
      <c r="L33" s="97"/>
      <c r="M33" s="97"/>
      <c r="N33" s="94"/>
    </row>
    <row r="34" spans="1:14" s="128" customFormat="1" x14ac:dyDescent="0.25">
      <c r="A34" s="88">
        <v>27</v>
      </c>
      <c r="B34" s="98">
        <f>'Plot By Plot SoA'!C135</f>
        <v>112</v>
      </c>
      <c r="C34" s="92">
        <f>'Plot By Plot SoA'!D135</f>
        <v>100.4</v>
      </c>
      <c r="D34" s="127">
        <f>'Plot By Plot SoA'!E135</f>
        <v>1080.6955600000001</v>
      </c>
      <c r="E34" s="90"/>
      <c r="F34" s="92"/>
      <c r="G34" s="97">
        <f>'Plot By Plot SoA'!I135</f>
        <v>0</v>
      </c>
      <c r="H34" s="93"/>
      <c r="I34" s="94"/>
      <c r="J34" s="99"/>
      <c r="K34" s="97">
        <f>'Plot By Plot SoA'!M135</f>
        <v>0</v>
      </c>
      <c r="L34" s="97"/>
      <c r="M34" s="97"/>
      <c r="N34" s="94"/>
    </row>
    <row r="35" spans="1:14" s="128" customFormat="1" x14ac:dyDescent="0.25">
      <c r="A35" s="88">
        <v>28</v>
      </c>
      <c r="B35" s="98">
        <f>'Plot By Plot SoA'!C138</f>
        <v>114</v>
      </c>
      <c r="C35" s="92">
        <f>'Plot By Plot SoA'!D138</f>
        <v>100.4</v>
      </c>
      <c r="D35" s="127">
        <f>'Plot By Plot SoA'!E138</f>
        <v>1080.6955600000001</v>
      </c>
      <c r="E35" s="90"/>
      <c r="F35" s="92"/>
      <c r="G35" s="97">
        <f>'Plot By Plot SoA'!I138</f>
        <v>0</v>
      </c>
      <c r="H35" s="93"/>
      <c r="I35" s="94"/>
      <c r="J35" s="99"/>
      <c r="K35" s="97">
        <f>'Plot By Plot SoA'!M138</f>
        <v>0</v>
      </c>
      <c r="L35" s="97"/>
      <c r="M35" s="97"/>
      <c r="N35" s="94"/>
    </row>
    <row r="36" spans="1:14" s="128" customFormat="1" x14ac:dyDescent="0.25">
      <c r="A36" s="88">
        <v>29</v>
      </c>
      <c r="B36" s="98">
        <f>'Plot By Plot SoA'!C140</f>
        <v>116</v>
      </c>
      <c r="C36" s="92">
        <f>'Plot By Plot SoA'!D140</f>
        <v>87.7</v>
      </c>
      <c r="D36" s="127">
        <f>'Plot By Plot SoA'!E140</f>
        <v>943.99402999999995</v>
      </c>
      <c r="E36" s="90"/>
      <c r="F36" s="92"/>
      <c r="G36" s="97">
        <f>'Plot By Plot SoA'!I140</f>
        <v>0</v>
      </c>
      <c r="H36" s="93"/>
      <c r="I36" s="94"/>
      <c r="J36" s="99"/>
      <c r="K36" s="97" t="str">
        <f>'Plot By Plot SoA'!M140</f>
        <v>Y</v>
      </c>
      <c r="L36" s="97"/>
      <c r="M36" s="97"/>
      <c r="N36" s="94"/>
    </row>
    <row r="37" spans="1:14" s="128" customFormat="1" x14ac:dyDescent="0.25">
      <c r="A37" s="88">
        <v>30</v>
      </c>
      <c r="B37" s="98">
        <f>'Plot By Plot SoA'!C143</f>
        <v>118</v>
      </c>
      <c r="C37" s="92">
        <f>'Plot By Plot SoA'!D143</f>
        <v>95</v>
      </c>
      <c r="D37" s="127">
        <f>'Plot By Plot SoA'!E143</f>
        <v>1022.5704999999999</v>
      </c>
      <c r="E37" s="90"/>
      <c r="F37" s="92"/>
      <c r="G37" s="97"/>
      <c r="H37" s="93">
        <f>'Plot By Plot SoA'!J143</f>
        <v>0</v>
      </c>
      <c r="I37" s="94"/>
      <c r="J37" s="99">
        <f>'Plot By Plot SoA'!L143</f>
        <v>0</v>
      </c>
      <c r="K37" s="97"/>
      <c r="L37" s="97"/>
      <c r="M37" s="97"/>
      <c r="N37" s="94"/>
    </row>
    <row r="38" spans="1:14" s="128" customFormat="1" x14ac:dyDescent="0.25">
      <c r="A38" s="88">
        <v>31</v>
      </c>
      <c r="B38" s="98">
        <f>'Plot By Plot SoA'!C144</f>
        <v>119</v>
      </c>
      <c r="C38" s="92">
        <f>'Plot By Plot SoA'!D144</f>
        <v>95</v>
      </c>
      <c r="D38" s="127">
        <f>'Plot By Plot SoA'!E144</f>
        <v>1022.5704999999999</v>
      </c>
      <c r="E38" s="90"/>
      <c r="F38" s="92"/>
      <c r="G38" s="97"/>
      <c r="H38" s="93">
        <f>'Plot By Plot SoA'!J144</f>
        <v>0</v>
      </c>
      <c r="I38" s="94"/>
      <c r="J38" s="99">
        <f>'Plot By Plot SoA'!L144</f>
        <v>0</v>
      </c>
      <c r="K38" s="97"/>
      <c r="L38" s="97"/>
      <c r="M38" s="97"/>
      <c r="N38" s="94"/>
    </row>
    <row r="39" spans="1:14" s="128" customFormat="1" x14ac:dyDescent="0.25">
      <c r="A39" s="88">
        <v>32</v>
      </c>
      <c r="B39" s="98">
        <f>'Plot By Plot SoA'!C145</f>
        <v>120</v>
      </c>
      <c r="C39" s="92">
        <f>'Plot By Plot SoA'!D145</f>
        <v>83.1</v>
      </c>
      <c r="D39" s="127">
        <f>'Plot By Plot SoA'!E145</f>
        <v>894.4800899999999</v>
      </c>
      <c r="E39" s="90"/>
      <c r="F39" s="92"/>
      <c r="G39" s="97">
        <f>'Plot By Plot SoA'!I145</f>
        <v>0</v>
      </c>
      <c r="H39" s="93"/>
      <c r="I39" s="94"/>
      <c r="J39" s="99"/>
      <c r="K39" s="97">
        <f>'Plot By Plot SoA'!M145</f>
        <v>0</v>
      </c>
      <c r="L39" s="97"/>
      <c r="M39" s="97"/>
      <c r="N39" s="94"/>
    </row>
    <row r="40" spans="1:14" s="128" customFormat="1" x14ac:dyDescent="0.25">
      <c r="A40" s="88">
        <v>33</v>
      </c>
      <c r="B40" s="98">
        <f>'Plot By Plot SoA'!C148</f>
        <v>122</v>
      </c>
      <c r="C40" s="92">
        <f>'Plot By Plot SoA'!D148</f>
        <v>77.5</v>
      </c>
      <c r="D40" s="127">
        <f>'Plot By Plot SoA'!E148</f>
        <v>834.20224999999994</v>
      </c>
      <c r="E40" s="90"/>
      <c r="F40" s="92"/>
      <c r="G40" s="97">
        <f>'Plot By Plot SoA'!I148</f>
        <v>0</v>
      </c>
      <c r="H40" s="93"/>
      <c r="I40" s="94"/>
      <c r="J40" s="99"/>
      <c r="K40" s="97" t="str">
        <f>'Plot By Plot SoA'!M148</f>
        <v>Y</v>
      </c>
      <c r="L40" s="97"/>
      <c r="M40" s="97"/>
      <c r="N40" s="94"/>
    </row>
    <row r="41" spans="1:14" s="128" customFormat="1" x14ac:dyDescent="0.25">
      <c r="A41" s="88">
        <v>34</v>
      </c>
      <c r="B41" s="98">
        <f>'Plot By Plot SoA'!C150</f>
        <v>124</v>
      </c>
      <c r="C41" s="92">
        <f>'Plot By Plot SoA'!D150</f>
        <v>99</v>
      </c>
      <c r="D41" s="127">
        <f>'Plot By Plot SoA'!E150</f>
        <v>1065.6261</v>
      </c>
      <c r="E41" s="90"/>
      <c r="F41" s="92"/>
      <c r="G41" s="97">
        <f>'Plot By Plot SoA'!I150</f>
        <v>0</v>
      </c>
      <c r="H41" s="93"/>
      <c r="I41" s="94"/>
      <c r="J41" s="99"/>
      <c r="K41" s="97" t="str">
        <f>'Plot By Plot SoA'!M150</f>
        <v>Y</v>
      </c>
      <c r="L41" s="97"/>
      <c r="M41" s="97"/>
      <c r="N41" s="94"/>
    </row>
    <row r="42" spans="1:14" s="128" customFormat="1" x14ac:dyDescent="0.25">
      <c r="A42" s="88">
        <v>35</v>
      </c>
      <c r="B42" s="98">
        <f>'Plot By Plot SoA'!C152</f>
        <v>126</v>
      </c>
      <c r="C42" s="92">
        <f>'Plot By Plot SoA'!D152</f>
        <v>75.3</v>
      </c>
      <c r="D42" s="127">
        <f>'Plot By Plot SoA'!E152</f>
        <v>810.52166999999997</v>
      </c>
      <c r="E42" s="90"/>
      <c r="F42" s="92"/>
      <c r="G42" s="97">
        <f>'Plot By Plot SoA'!I152</f>
        <v>0</v>
      </c>
      <c r="H42" s="93"/>
      <c r="I42" s="94"/>
      <c r="J42" s="99"/>
      <c r="K42" s="97" t="str">
        <f>'Plot By Plot SoA'!M152</f>
        <v>Y</v>
      </c>
      <c r="L42" s="97"/>
      <c r="M42" s="97"/>
      <c r="N42" s="94"/>
    </row>
    <row r="43" spans="1:14" s="128" customFormat="1" x14ac:dyDescent="0.25">
      <c r="A43" s="88">
        <v>36</v>
      </c>
      <c r="B43" s="98">
        <f>'Plot By Plot SoA'!C154</f>
        <v>128</v>
      </c>
      <c r="C43" s="92">
        <f>'Plot By Plot SoA'!D154</f>
        <v>70.599999999999994</v>
      </c>
      <c r="D43" s="127">
        <f>'Plot By Plot SoA'!E154</f>
        <v>759.93133999999986</v>
      </c>
      <c r="E43" s="90"/>
      <c r="F43" s="92"/>
      <c r="G43" s="97">
        <f>'Plot By Plot SoA'!I154</f>
        <v>0</v>
      </c>
      <c r="H43" s="93"/>
      <c r="I43" s="94"/>
      <c r="J43" s="99"/>
      <c r="K43" s="97" t="str">
        <f>'Plot By Plot SoA'!M154</f>
        <v>Y</v>
      </c>
      <c r="L43" s="97"/>
      <c r="M43" s="97"/>
      <c r="N43" s="94"/>
    </row>
    <row r="44" spans="1:14" s="128" customFormat="1" x14ac:dyDescent="0.25">
      <c r="A44" s="88">
        <v>37</v>
      </c>
      <c r="B44" s="98">
        <f>'Plot By Plot SoA'!C156</f>
        <v>130</v>
      </c>
      <c r="C44" s="92">
        <f>'Plot By Plot SoA'!D156</f>
        <v>108.2</v>
      </c>
      <c r="D44" s="127">
        <f>'Plot By Plot SoA'!E156</f>
        <v>1164.65398</v>
      </c>
      <c r="E44" s="90"/>
      <c r="F44" s="92"/>
      <c r="G44" s="97">
        <f>'Plot By Plot SoA'!I156</f>
        <v>0</v>
      </c>
      <c r="H44" s="93"/>
      <c r="I44" s="94"/>
      <c r="J44" s="99"/>
      <c r="K44" s="97">
        <f>'Plot By Plot SoA'!M156</f>
        <v>0</v>
      </c>
      <c r="L44" s="97"/>
      <c r="M44" s="97"/>
      <c r="N44" s="94"/>
    </row>
    <row r="45" spans="1:14" s="128" customFormat="1" x14ac:dyDescent="0.25">
      <c r="A45" s="88">
        <v>38</v>
      </c>
      <c r="B45" s="98">
        <f>'Plot By Plot SoA'!C160</f>
        <v>132</v>
      </c>
      <c r="C45" s="92">
        <f>'Plot By Plot SoA'!D160</f>
        <v>72.599999999999994</v>
      </c>
      <c r="D45" s="127">
        <f>'Plot By Plot SoA'!E160</f>
        <v>781.45913999999993</v>
      </c>
      <c r="E45" s="90"/>
      <c r="F45" s="92"/>
      <c r="G45" s="97">
        <f>'Plot By Plot SoA'!I160</f>
        <v>0</v>
      </c>
      <c r="H45" s="93"/>
      <c r="I45" s="94"/>
      <c r="J45" s="99"/>
      <c r="K45" s="97" t="str">
        <f>'Plot By Plot SoA'!M160</f>
        <v>Y</v>
      </c>
      <c r="L45" s="97"/>
      <c r="M45" s="97"/>
      <c r="N45" s="94"/>
    </row>
    <row r="46" spans="1:14" s="128" customFormat="1" x14ac:dyDescent="0.25">
      <c r="A46" s="88">
        <v>39</v>
      </c>
      <c r="B46" s="98">
        <f>'Plot By Plot SoA'!C163</f>
        <v>134</v>
      </c>
      <c r="C46" s="92">
        <f>'Plot By Plot SoA'!D163</f>
        <v>97.1</v>
      </c>
      <c r="D46" s="127">
        <f>'Plot By Plot SoA'!E163</f>
        <v>1045.1746899999998</v>
      </c>
      <c r="E46" s="90"/>
      <c r="F46" s="92"/>
      <c r="G46" s="97">
        <f>'Plot By Plot SoA'!I163</f>
        <v>0</v>
      </c>
      <c r="H46" s="93"/>
      <c r="I46" s="94"/>
      <c r="J46" s="99"/>
      <c r="K46" s="97">
        <f>'Plot By Plot SoA'!M163</f>
        <v>0</v>
      </c>
      <c r="L46" s="97"/>
      <c r="M46" s="97"/>
      <c r="N46" s="94"/>
    </row>
    <row r="47" spans="1:14" s="128" customFormat="1" x14ac:dyDescent="0.25">
      <c r="A47" s="88">
        <v>40</v>
      </c>
      <c r="B47" s="98">
        <f>'Plot By Plot SoA'!C166</f>
        <v>136</v>
      </c>
      <c r="C47" s="92">
        <f>'Plot By Plot SoA'!D166</f>
        <v>88.5</v>
      </c>
      <c r="D47" s="127">
        <f>'Plot By Plot SoA'!E166</f>
        <v>952.60514999999998</v>
      </c>
      <c r="E47" s="90"/>
      <c r="F47" s="92"/>
      <c r="G47" s="97">
        <f>'Plot By Plot SoA'!I166</f>
        <v>0</v>
      </c>
      <c r="H47" s="93"/>
      <c r="I47" s="94"/>
      <c r="J47" s="99"/>
      <c r="K47" s="97">
        <f>'Plot By Plot SoA'!M166</f>
        <v>0</v>
      </c>
      <c r="L47" s="97"/>
      <c r="M47" s="97"/>
      <c r="N47" s="94"/>
    </row>
    <row r="48" spans="1:14" s="128" customFormat="1" x14ac:dyDescent="0.25">
      <c r="A48" s="88">
        <v>41</v>
      </c>
      <c r="B48" s="98">
        <f>'Plot By Plot SoA'!C168</f>
        <v>138</v>
      </c>
      <c r="C48" s="92">
        <f>'Plot By Plot SoA'!D168</f>
        <v>90.7</v>
      </c>
      <c r="D48" s="127">
        <f>'Plot By Plot SoA'!E168</f>
        <v>976.28572999999994</v>
      </c>
      <c r="E48" s="90"/>
      <c r="F48" s="92"/>
      <c r="G48" s="97">
        <f>'Plot By Plot SoA'!I168</f>
        <v>0</v>
      </c>
      <c r="H48" s="93"/>
      <c r="I48" s="94"/>
      <c r="J48" s="99"/>
      <c r="K48" s="97" t="str">
        <f>'Plot By Plot SoA'!M168</f>
        <v>Y</v>
      </c>
      <c r="L48" s="97"/>
      <c r="M48" s="97"/>
      <c r="N48" s="94"/>
    </row>
    <row r="49" spans="1:20" s="128" customFormat="1" x14ac:dyDescent="0.25">
      <c r="A49" s="88">
        <v>42</v>
      </c>
      <c r="B49" s="98">
        <f>'Plot By Plot SoA'!C170</f>
        <v>140</v>
      </c>
      <c r="C49" s="92">
        <f>'Plot By Plot SoA'!D170</f>
        <v>87.6</v>
      </c>
      <c r="D49" s="127">
        <f>'Plot By Plot SoA'!E170</f>
        <v>942.91763999999989</v>
      </c>
      <c r="E49" s="90"/>
      <c r="F49" s="92">
        <f>'Plot By Plot SoA'!H170</f>
        <v>0</v>
      </c>
      <c r="G49" s="97"/>
      <c r="H49" s="93"/>
      <c r="I49" s="94"/>
      <c r="J49" s="99"/>
      <c r="K49" s="97" t="str">
        <f>'Plot By Plot SoA'!M170</f>
        <v>Y</v>
      </c>
      <c r="L49" s="97"/>
      <c r="M49" s="97"/>
      <c r="N49" s="94"/>
    </row>
    <row r="50" spans="1:20" s="128" customFormat="1" ht="15.75" thickBot="1" x14ac:dyDescent="0.3">
      <c r="A50" s="101">
        <v>43</v>
      </c>
      <c r="B50" s="102">
        <f>'Plot By Plot SoA'!C171</f>
        <v>141</v>
      </c>
      <c r="C50" s="105">
        <f>'Plot By Plot SoA'!D171</f>
        <v>97.3</v>
      </c>
      <c r="D50" s="129">
        <f>'Plot By Plot SoA'!E171</f>
        <v>1047.3274699999999</v>
      </c>
      <c r="E50" s="103"/>
      <c r="F50" s="105">
        <f>'Plot By Plot SoA'!H171</f>
        <v>0</v>
      </c>
      <c r="G50" s="109"/>
      <c r="H50" s="93"/>
      <c r="I50" s="94"/>
      <c r="J50" s="108"/>
      <c r="K50" s="109">
        <f>'Plot By Plot SoA'!M171</f>
        <v>0</v>
      </c>
      <c r="L50" s="109"/>
      <c r="M50" s="109"/>
      <c r="N50" s="94"/>
    </row>
    <row r="51" spans="1:20" s="128" customFormat="1" ht="39" customHeight="1" thickBot="1" x14ac:dyDescent="0.3">
      <c r="A51" s="162" t="s">
        <v>50</v>
      </c>
      <c r="B51" s="163">
        <f>COUNTA(B16:B50)</f>
        <v>35</v>
      </c>
      <c r="C51" s="168">
        <f>SUM(C16:C50)</f>
        <v>3221.2999999999997</v>
      </c>
      <c r="D51" s="133">
        <f>SUM(C51*10.7639)</f>
        <v>34673.751069999998</v>
      </c>
      <c r="E51" s="130">
        <f>COUNTA(E16:E50)</f>
        <v>0</v>
      </c>
      <c r="F51" s="130">
        <f t="shared" ref="F51:N51" si="1">COUNTA(F16:F50)</f>
        <v>2</v>
      </c>
      <c r="G51" s="130">
        <f t="shared" si="1"/>
        <v>21</v>
      </c>
      <c r="H51" s="163">
        <f t="shared" si="1"/>
        <v>12</v>
      </c>
      <c r="I51" s="130">
        <f t="shared" si="1"/>
        <v>0</v>
      </c>
      <c r="J51" s="130">
        <f t="shared" si="1"/>
        <v>12</v>
      </c>
      <c r="K51" s="130">
        <f t="shared" si="1"/>
        <v>23</v>
      </c>
      <c r="L51" s="130">
        <f t="shared" si="1"/>
        <v>0</v>
      </c>
      <c r="M51" s="130">
        <f t="shared" si="1"/>
        <v>0</v>
      </c>
      <c r="N51" s="131">
        <f t="shared" si="1"/>
        <v>0</v>
      </c>
    </row>
    <row r="52" spans="1:20" s="128" customFormat="1" ht="15.75" thickTop="1" x14ac:dyDescent="0.25">
      <c r="A52" s="76" t="s">
        <v>52</v>
      </c>
      <c r="B52" s="26"/>
      <c r="C52" s="171"/>
      <c r="D52" s="172"/>
      <c r="E52" s="173"/>
      <c r="F52" s="174"/>
      <c r="G52" s="174"/>
      <c r="H52" s="196"/>
      <c r="I52" s="175"/>
      <c r="J52" s="3">
        <v>1</v>
      </c>
      <c r="K52" s="4">
        <v>2</v>
      </c>
      <c r="L52" s="4">
        <v>3</v>
      </c>
      <c r="M52" s="176">
        <v>4</v>
      </c>
      <c r="N52" s="5">
        <v>5</v>
      </c>
      <c r="P52" s="978" t="s">
        <v>60</v>
      </c>
      <c r="Q52" s="979"/>
      <c r="R52" s="979"/>
      <c r="S52" s="979"/>
      <c r="T52" s="980"/>
    </row>
    <row r="53" spans="1:20" s="128" customFormat="1" x14ac:dyDescent="0.25">
      <c r="A53" s="110">
        <v>44</v>
      </c>
      <c r="B53" s="98">
        <f>'Plot By Plot SoA'!C178</f>
        <v>148</v>
      </c>
      <c r="C53" s="92">
        <f>'Plot By Plot SoA'!D178</f>
        <v>52.1</v>
      </c>
      <c r="D53" s="127">
        <f>'Plot By Plot SoA'!E178</f>
        <v>560.79918999999995</v>
      </c>
      <c r="E53" s="90"/>
      <c r="G53" s="97">
        <f>'Plot By Plot SoA'!I178</f>
        <v>0</v>
      </c>
      <c r="H53" s="93"/>
      <c r="I53" s="94"/>
      <c r="J53" s="99"/>
      <c r="K53" s="92">
        <f>'Plot By Plot SoA'!M178</f>
        <v>0</v>
      </c>
      <c r="L53" s="97"/>
      <c r="M53" s="97"/>
      <c r="N53" s="94"/>
      <c r="P53" s="189"/>
      <c r="Q53" s="184" t="s">
        <v>57</v>
      </c>
      <c r="R53" s="184" t="s">
        <v>58</v>
      </c>
      <c r="S53" s="185" t="s">
        <v>59</v>
      </c>
      <c r="T53" s="188" t="s">
        <v>55</v>
      </c>
    </row>
    <row r="54" spans="1:20" s="128" customFormat="1" x14ac:dyDescent="0.25">
      <c r="A54" s="88">
        <v>45</v>
      </c>
      <c r="B54" s="98">
        <f>'Plot By Plot SoA'!C179</f>
        <v>149</v>
      </c>
      <c r="C54" s="92">
        <f>'Plot By Plot SoA'!D179</f>
        <v>70</v>
      </c>
      <c r="D54" s="127">
        <f>'Plot By Plot SoA'!E179</f>
        <v>753.47299999999996</v>
      </c>
      <c r="E54" s="90"/>
      <c r="F54" s="92"/>
      <c r="G54" s="92" t="str">
        <f>'Plot By Plot SoA'!I179</f>
        <v>Y</v>
      </c>
      <c r="H54" s="93"/>
      <c r="I54" s="94"/>
      <c r="J54" s="99"/>
      <c r="K54" s="92" t="str">
        <f>'Plot By Plot SoA'!M179</f>
        <v>Y</v>
      </c>
      <c r="L54" s="97"/>
      <c r="M54" s="97"/>
      <c r="N54" s="94"/>
      <c r="P54" s="180" t="s">
        <v>29</v>
      </c>
      <c r="Q54" s="128">
        <v>0</v>
      </c>
      <c r="R54" s="128">
        <v>0</v>
      </c>
      <c r="S54" s="93">
        <v>0</v>
      </c>
      <c r="T54" s="94">
        <f>SUM(Q54:S54)</f>
        <v>0</v>
      </c>
    </row>
    <row r="55" spans="1:20" s="128" customFormat="1" x14ac:dyDescent="0.25">
      <c r="A55" s="88">
        <v>46</v>
      </c>
      <c r="B55" s="98">
        <f>'Plot By Plot SoA'!C180</f>
        <v>150</v>
      </c>
      <c r="C55" s="92">
        <f>'Plot By Plot SoA'!D180</f>
        <v>38.200000000000003</v>
      </c>
      <c r="D55" s="127">
        <f>'Plot By Plot SoA'!E180</f>
        <v>411.18098000000003</v>
      </c>
      <c r="E55" s="90"/>
      <c r="F55" s="92"/>
      <c r="G55" s="92">
        <f>'Plot By Plot SoA'!I180</f>
        <v>0</v>
      </c>
      <c r="H55" s="93"/>
      <c r="I55" s="94"/>
      <c r="J55" s="99"/>
      <c r="K55" s="92">
        <f>'Plot By Plot SoA'!M180</f>
        <v>0</v>
      </c>
      <c r="L55" s="97"/>
      <c r="M55" s="97"/>
      <c r="N55" s="94"/>
      <c r="P55" s="180" t="s">
        <v>30</v>
      </c>
      <c r="Q55" s="128">
        <v>0</v>
      </c>
      <c r="R55" s="128">
        <v>8</v>
      </c>
      <c r="S55" s="93">
        <v>0</v>
      </c>
      <c r="T55" s="94">
        <f>SUM(Q55:S55)</f>
        <v>8</v>
      </c>
    </row>
    <row r="56" spans="1:20" s="128" customFormat="1" ht="15.75" thickBot="1" x14ac:dyDescent="0.3">
      <c r="A56" s="88">
        <v>47</v>
      </c>
      <c r="B56" s="98">
        <f>'Plot By Plot SoA'!C181</f>
        <v>151</v>
      </c>
      <c r="C56" s="92">
        <f>'Plot By Plot SoA'!D181</f>
        <v>52.1</v>
      </c>
      <c r="D56" s="127">
        <f>'Plot By Plot SoA'!E181</f>
        <v>560.79918999999995</v>
      </c>
      <c r="E56" s="90"/>
      <c r="F56" s="92"/>
      <c r="G56" s="92">
        <f>'Plot By Plot SoA'!I181</f>
        <v>0</v>
      </c>
      <c r="H56" s="93"/>
      <c r="I56" s="94"/>
      <c r="J56" s="99"/>
      <c r="K56" s="92">
        <f>'Plot By Plot SoA'!M181</f>
        <v>0</v>
      </c>
      <c r="L56" s="97"/>
      <c r="M56" s="97"/>
      <c r="N56" s="94"/>
      <c r="P56" s="190" t="s">
        <v>31</v>
      </c>
      <c r="Q56" s="186">
        <v>0</v>
      </c>
      <c r="R56" s="186">
        <v>0</v>
      </c>
      <c r="S56" s="187">
        <v>0</v>
      </c>
      <c r="T56" s="94">
        <f>SUM(Q56:S56)</f>
        <v>0</v>
      </c>
    </row>
    <row r="57" spans="1:20" s="128" customFormat="1" ht="15.75" thickBot="1" x14ac:dyDescent="0.3">
      <c r="A57" s="88">
        <v>48</v>
      </c>
      <c r="B57" s="98">
        <f>'Plot By Plot SoA'!C182</f>
        <v>152</v>
      </c>
      <c r="C57" s="92">
        <f>'Plot By Plot SoA'!D182</f>
        <v>38.200000000000003</v>
      </c>
      <c r="D57" s="127">
        <f>'Plot By Plot SoA'!E182</f>
        <v>411.18098000000003</v>
      </c>
      <c r="E57" s="90"/>
      <c r="F57" s="92"/>
      <c r="G57" s="92">
        <f>'Plot By Plot SoA'!I182</f>
        <v>0</v>
      </c>
      <c r="H57" s="93"/>
      <c r="I57" s="94"/>
      <c r="J57" s="99"/>
      <c r="K57" s="92">
        <f>'Plot By Plot SoA'!M182</f>
        <v>0</v>
      </c>
      <c r="L57" s="97"/>
      <c r="M57" s="97"/>
      <c r="N57" s="94"/>
      <c r="P57" s="181" t="s">
        <v>55</v>
      </c>
      <c r="Q57" s="179">
        <f>SUM(Q54:Q56)</f>
        <v>0</v>
      </c>
      <c r="R57" s="179">
        <f>SUM(R54:R56)</f>
        <v>8</v>
      </c>
      <c r="S57" s="179">
        <f>SUM(S54:S56)</f>
        <v>0</v>
      </c>
      <c r="T57" s="178">
        <f>SUM(Q57:S57)</f>
        <v>8</v>
      </c>
    </row>
    <row r="58" spans="1:20" s="128" customFormat="1" x14ac:dyDescent="0.25">
      <c r="A58" s="88">
        <v>49</v>
      </c>
      <c r="B58" s="98">
        <f>'Plot By Plot SoA'!C183</f>
        <v>153</v>
      </c>
      <c r="C58" s="92">
        <f>'Plot By Plot SoA'!D183</f>
        <v>49.8</v>
      </c>
      <c r="D58" s="127">
        <f>'Plot By Plot SoA'!E183</f>
        <v>536.04221999999993</v>
      </c>
      <c r="E58" s="90"/>
      <c r="F58" s="92"/>
      <c r="G58" s="92">
        <f>'Plot By Plot SoA'!I183</f>
        <v>0</v>
      </c>
      <c r="H58" s="93"/>
      <c r="I58" s="94"/>
      <c r="J58" s="99"/>
      <c r="K58" s="92">
        <f>'Plot By Plot SoA'!M183</f>
        <v>0</v>
      </c>
      <c r="L58" s="97"/>
      <c r="M58" s="97"/>
      <c r="N58" s="94"/>
    </row>
    <row r="59" spans="1:20" s="128" customFormat="1" x14ac:dyDescent="0.25">
      <c r="A59" s="88">
        <v>50</v>
      </c>
      <c r="B59" s="98">
        <f>'Plot By Plot SoA'!C184</f>
        <v>154</v>
      </c>
      <c r="C59" s="92">
        <f>'Plot By Plot SoA'!D184</f>
        <v>37.200000000000003</v>
      </c>
      <c r="D59" s="127">
        <f>'Plot By Plot SoA'!E184</f>
        <v>400.41708</v>
      </c>
      <c r="E59" s="90"/>
      <c r="F59" s="92"/>
      <c r="G59" s="92">
        <f>'Plot By Plot SoA'!I184</f>
        <v>0</v>
      </c>
      <c r="H59" s="93"/>
      <c r="I59" s="94"/>
      <c r="J59" s="99"/>
      <c r="K59" s="92">
        <f>'Plot By Plot SoA'!M184</f>
        <v>0</v>
      </c>
      <c r="L59" s="97"/>
      <c r="M59" s="97"/>
      <c r="N59" s="94"/>
    </row>
    <row r="60" spans="1:20" s="128" customFormat="1" ht="15.75" thickBot="1" x14ac:dyDescent="0.3">
      <c r="A60" s="101">
        <v>51</v>
      </c>
      <c r="B60" s="102">
        <f>'Plot By Plot SoA'!C185</f>
        <v>155</v>
      </c>
      <c r="C60" s="105">
        <f>'Plot By Plot SoA'!D185</f>
        <v>49.8</v>
      </c>
      <c r="D60" s="129">
        <f>'Plot By Plot SoA'!E185</f>
        <v>536.04221999999993</v>
      </c>
      <c r="E60" s="103"/>
      <c r="F60" s="105"/>
      <c r="G60" s="105">
        <f>'Plot By Plot SoA'!I185</f>
        <v>0</v>
      </c>
      <c r="H60" s="106"/>
      <c r="I60" s="94"/>
      <c r="J60" s="108"/>
      <c r="K60" s="105">
        <f>'Plot By Plot SoA'!M185</f>
        <v>0</v>
      </c>
      <c r="L60" s="109"/>
      <c r="M60" s="109"/>
      <c r="N60" s="94"/>
    </row>
    <row r="61" spans="1:20" s="128" customFormat="1" ht="39" customHeight="1" thickBot="1" x14ac:dyDescent="0.3">
      <c r="A61" s="162" t="s">
        <v>50</v>
      </c>
      <c r="B61" s="163">
        <f>COUNTA(B53:B60)</f>
        <v>8</v>
      </c>
      <c r="C61" s="168">
        <f>SUM(C53:C60)</f>
        <v>387.40000000000003</v>
      </c>
      <c r="D61" s="133">
        <f>SUM(C61*10.7639)</f>
        <v>4169.9348600000003</v>
      </c>
      <c r="E61" s="130">
        <f>COUNTA(E53:E60)</f>
        <v>0</v>
      </c>
      <c r="F61" s="130">
        <f t="shared" ref="F61:M61" si="2">COUNTA(F53:F60)</f>
        <v>0</v>
      </c>
      <c r="G61" s="130">
        <f t="shared" si="2"/>
        <v>8</v>
      </c>
      <c r="H61" s="163">
        <f t="shared" si="2"/>
        <v>0</v>
      </c>
      <c r="I61" s="177">
        <f t="shared" si="2"/>
        <v>0</v>
      </c>
      <c r="J61" s="130">
        <f t="shared" si="2"/>
        <v>0</v>
      </c>
      <c r="K61" s="130">
        <f t="shared" si="2"/>
        <v>8</v>
      </c>
      <c r="L61" s="130">
        <f t="shared" si="2"/>
        <v>0</v>
      </c>
      <c r="M61" s="130">
        <f t="shared" si="2"/>
        <v>0</v>
      </c>
      <c r="N61" s="131">
        <f>COUNTA(N53:N60)</f>
        <v>0</v>
      </c>
    </row>
    <row r="62" spans="1:20" s="128" customFormat="1" ht="15.75" thickTop="1" x14ac:dyDescent="0.25">
      <c r="A62" s="76" t="s">
        <v>27</v>
      </c>
      <c r="B62" s="26"/>
      <c r="C62" s="171"/>
      <c r="D62" s="172"/>
      <c r="E62" s="173"/>
      <c r="F62" s="174"/>
      <c r="G62" s="174"/>
      <c r="H62" s="196"/>
      <c r="I62" s="175"/>
      <c r="J62" s="3">
        <v>1</v>
      </c>
      <c r="K62" s="4">
        <v>2</v>
      </c>
      <c r="L62" s="4">
        <v>3</v>
      </c>
      <c r="M62" s="176">
        <v>4</v>
      </c>
      <c r="N62" s="5">
        <v>5</v>
      </c>
      <c r="P62" s="978" t="s">
        <v>56</v>
      </c>
      <c r="Q62" s="979"/>
      <c r="R62" s="979"/>
      <c r="S62" s="979"/>
      <c r="T62" s="980"/>
    </row>
    <row r="63" spans="1:20" s="128" customFormat="1" x14ac:dyDescent="0.25">
      <c r="A63" s="110">
        <v>52</v>
      </c>
      <c r="B63" s="98">
        <f>'Plot By Plot SoA'!C288</f>
        <v>257</v>
      </c>
      <c r="C63" s="92">
        <f>'Plot By Plot SoA'!D288</f>
        <v>43.4</v>
      </c>
      <c r="D63" s="127">
        <f>'Plot By Plot SoA'!E288</f>
        <v>467.15325999999999</v>
      </c>
      <c r="E63" s="90"/>
      <c r="F63" s="97">
        <f>'Plot By Plot SoA'!H288</f>
        <v>0</v>
      </c>
      <c r="G63" s="97"/>
      <c r="H63" s="93"/>
      <c r="I63" s="94"/>
      <c r="J63" s="99"/>
      <c r="K63" s="97"/>
      <c r="L63" s="92">
        <f>'Plot By Plot SoA'!N288</f>
        <v>0</v>
      </c>
      <c r="M63" s="92"/>
      <c r="N63" s="94"/>
      <c r="P63" s="189"/>
      <c r="Q63" s="184" t="s">
        <v>57</v>
      </c>
      <c r="R63" s="184" t="s">
        <v>58</v>
      </c>
      <c r="S63" s="185" t="s">
        <v>59</v>
      </c>
      <c r="T63" s="188" t="s">
        <v>55</v>
      </c>
    </row>
    <row r="64" spans="1:20" s="128" customFormat="1" x14ac:dyDescent="0.25">
      <c r="A64" s="88">
        <v>53</v>
      </c>
      <c r="B64" s="98">
        <f>'Plot By Plot SoA'!C290</f>
        <v>259</v>
      </c>
      <c r="C64" s="92">
        <f>'Plot By Plot SoA'!D290</f>
        <v>43.4</v>
      </c>
      <c r="D64" s="127">
        <f>'Plot By Plot SoA'!E290</f>
        <v>467.15325999999999</v>
      </c>
      <c r="E64" s="90"/>
      <c r="F64" s="97"/>
      <c r="G64" s="97">
        <f>'Plot By Plot SoA'!I290</f>
        <v>0</v>
      </c>
      <c r="H64" s="93"/>
      <c r="I64" s="94"/>
      <c r="J64" s="99"/>
      <c r="K64" s="97">
        <f>'Plot By Plot SoA'!M290</f>
        <v>0</v>
      </c>
      <c r="L64" s="92"/>
      <c r="M64" s="92"/>
      <c r="N64" s="94"/>
      <c r="P64" s="180" t="s">
        <v>29</v>
      </c>
      <c r="Q64" s="128">
        <v>0</v>
      </c>
      <c r="R64" s="128">
        <v>0</v>
      </c>
      <c r="S64" s="93">
        <v>10</v>
      </c>
      <c r="T64" s="94">
        <f>SUM(Q64:S64)</f>
        <v>10</v>
      </c>
    </row>
    <row r="65" spans="1:20" s="128" customFormat="1" x14ac:dyDescent="0.25">
      <c r="A65" s="88">
        <v>54</v>
      </c>
      <c r="B65" s="98">
        <f>'Plot By Plot SoA'!C292</f>
        <v>261</v>
      </c>
      <c r="C65" s="92">
        <f>'Plot By Plot SoA'!D292</f>
        <v>43.4</v>
      </c>
      <c r="D65" s="127">
        <f>'Plot By Plot SoA'!E292</f>
        <v>467.15325999999999</v>
      </c>
      <c r="E65" s="90"/>
      <c r="F65" s="97"/>
      <c r="G65" s="97">
        <f>'Plot By Plot SoA'!I292</f>
        <v>0</v>
      </c>
      <c r="H65" s="93"/>
      <c r="I65" s="94"/>
      <c r="J65" s="99"/>
      <c r="K65" s="97">
        <f>'Plot By Plot SoA'!M292</f>
        <v>0</v>
      </c>
      <c r="L65" s="92"/>
      <c r="M65" s="92"/>
      <c r="N65" s="94"/>
      <c r="P65" s="180" t="s">
        <v>30</v>
      </c>
      <c r="Q65" s="128">
        <v>0</v>
      </c>
      <c r="R65" s="128">
        <v>11</v>
      </c>
      <c r="S65" s="93">
        <v>0</v>
      </c>
      <c r="T65" s="94">
        <f>SUM(Q65:S65)</f>
        <v>11</v>
      </c>
    </row>
    <row r="66" spans="1:20" s="128" customFormat="1" ht="15.75" thickBot="1" x14ac:dyDescent="0.3">
      <c r="A66" s="88">
        <v>55</v>
      </c>
      <c r="B66" s="98">
        <f>'Plot By Plot SoA'!C294</f>
        <v>263</v>
      </c>
      <c r="C66" s="92">
        <f>'Plot By Plot SoA'!D294</f>
        <v>43.4</v>
      </c>
      <c r="D66" s="127">
        <f>'Plot By Plot SoA'!E294</f>
        <v>467.15325999999999</v>
      </c>
      <c r="E66" s="90"/>
      <c r="F66" s="97"/>
      <c r="G66" s="97">
        <f>'Plot By Plot SoA'!I294</f>
        <v>0</v>
      </c>
      <c r="H66" s="93"/>
      <c r="I66" s="94"/>
      <c r="J66" s="99"/>
      <c r="K66" s="97">
        <f>'Plot By Plot SoA'!M294</f>
        <v>0</v>
      </c>
      <c r="L66" s="92"/>
      <c r="M66" s="92"/>
      <c r="N66" s="94"/>
      <c r="P66" s="190" t="s">
        <v>31</v>
      </c>
      <c r="Q66" s="186">
        <v>1</v>
      </c>
      <c r="R66" s="186">
        <v>0</v>
      </c>
      <c r="S66" s="187">
        <v>1</v>
      </c>
      <c r="T66" s="94">
        <f>SUM(Q66:S66)</f>
        <v>2</v>
      </c>
    </row>
    <row r="67" spans="1:20" s="128" customFormat="1" ht="15.75" thickBot="1" x14ac:dyDescent="0.3">
      <c r="A67" s="88">
        <v>56</v>
      </c>
      <c r="B67" s="98">
        <f>'Plot By Plot SoA'!C296</f>
        <v>265</v>
      </c>
      <c r="C67" s="92">
        <f>'Plot By Plot SoA'!D296</f>
        <v>43.4</v>
      </c>
      <c r="D67" s="127">
        <f>'Plot By Plot SoA'!E296</f>
        <v>467.15325999999999</v>
      </c>
      <c r="E67" s="90"/>
      <c r="F67" s="97"/>
      <c r="G67" s="97"/>
      <c r="H67" s="93" t="str">
        <f>'Plot By Plot SoA'!J296</f>
        <v>Y</v>
      </c>
      <c r="I67" s="94"/>
      <c r="J67" s="99" t="str">
        <f>'Plot By Plot SoA'!L296</f>
        <v>Y</v>
      </c>
      <c r="K67" s="97"/>
      <c r="L67" s="92"/>
      <c r="M67" s="92"/>
      <c r="N67" s="94"/>
      <c r="P67" s="181" t="s">
        <v>55</v>
      </c>
      <c r="Q67" s="179">
        <f>SUM(Q64:Q66)</f>
        <v>1</v>
      </c>
      <c r="R67" s="179">
        <f>SUM(R64:R66)</f>
        <v>11</v>
      </c>
      <c r="S67" s="179">
        <f>SUM(S64:S66)</f>
        <v>11</v>
      </c>
      <c r="T67" s="178">
        <f>SUM(Q67:S67)</f>
        <v>23</v>
      </c>
    </row>
    <row r="68" spans="1:20" s="128" customFormat="1" x14ac:dyDescent="0.25">
      <c r="A68" s="88">
        <v>57</v>
      </c>
      <c r="B68" s="98">
        <f>'Plot By Plot SoA'!C297</f>
        <v>266</v>
      </c>
      <c r="C68" s="92">
        <f>'Plot By Plot SoA'!D297</f>
        <v>43.4</v>
      </c>
      <c r="D68" s="127">
        <f>'Plot By Plot SoA'!E297</f>
        <v>467.15325999999999</v>
      </c>
      <c r="E68" s="90"/>
      <c r="F68" s="97"/>
      <c r="G68" s="97"/>
      <c r="H68" s="93" t="str">
        <f>'Plot By Plot SoA'!J297</f>
        <v>Y</v>
      </c>
      <c r="I68" s="94"/>
      <c r="J68" s="99" t="str">
        <f>'Plot By Plot SoA'!L297</f>
        <v>Y</v>
      </c>
      <c r="K68" s="97"/>
      <c r="L68" s="92"/>
      <c r="M68" s="92"/>
      <c r="N68" s="94"/>
    </row>
    <row r="69" spans="1:20" s="128" customFormat="1" x14ac:dyDescent="0.25">
      <c r="A69" s="88">
        <v>58</v>
      </c>
      <c r="B69" s="98">
        <f>'Plot By Plot SoA'!C298</f>
        <v>267</v>
      </c>
      <c r="C69" s="92">
        <f>'Plot By Plot SoA'!D298</f>
        <v>43.4</v>
      </c>
      <c r="D69" s="127">
        <f>'Plot By Plot SoA'!E298</f>
        <v>467.15325999999999</v>
      </c>
      <c r="E69" s="90"/>
      <c r="F69" s="97"/>
      <c r="G69" s="97"/>
      <c r="H69" s="93" t="str">
        <f>'Plot By Plot SoA'!J298</f>
        <v>Y</v>
      </c>
      <c r="I69" s="94"/>
      <c r="J69" s="99" t="str">
        <f>'Plot By Plot SoA'!L298</f>
        <v>Y</v>
      </c>
      <c r="K69" s="97"/>
      <c r="L69" s="92"/>
      <c r="M69" s="92"/>
      <c r="N69" s="94"/>
    </row>
    <row r="70" spans="1:20" s="128" customFormat="1" x14ac:dyDescent="0.25">
      <c r="A70" s="88">
        <v>59</v>
      </c>
      <c r="B70" s="98">
        <f>'Plot By Plot SoA'!C299</f>
        <v>268</v>
      </c>
      <c r="C70" s="92">
        <f>'Plot By Plot SoA'!D299</f>
        <v>43.4</v>
      </c>
      <c r="D70" s="127">
        <f>'Plot By Plot SoA'!E299</f>
        <v>467.15325999999999</v>
      </c>
      <c r="E70" s="90"/>
      <c r="F70" s="97"/>
      <c r="G70" s="97"/>
      <c r="H70" s="93" t="str">
        <f>'Plot By Plot SoA'!J299</f>
        <v>Y</v>
      </c>
      <c r="I70" s="94"/>
      <c r="J70" s="99" t="str">
        <f>'Plot By Plot SoA'!L299</f>
        <v>Y</v>
      </c>
      <c r="K70" s="97"/>
      <c r="L70" s="92"/>
      <c r="M70" s="92"/>
      <c r="N70" s="94"/>
    </row>
    <row r="71" spans="1:20" s="128" customFormat="1" x14ac:dyDescent="0.25">
      <c r="A71" s="88">
        <v>60</v>
      </c>
      <c r="B71" s="98">
        <f>'Plot By Plot SoA'!C300</f>
        <v>269</v>
      </c>
      <c r="C71" s="92">
        <f>'Plot By Plot SoA'!D300</f>
        <v>43.4</v>
      </c>
      <c r="D71" s="127">
        <f>'Plot By Plot SoA'!E300</f>
        <v>467.15325999999999</v>
      </c>
      <c r="E71" s="90"/>
      <c r="F71" s="97"/>
      <c r="G71" s="97"/>
      <c r="H71" s="93" t="str">
        <f>'Plot By Plot SoA'!J300</f>
        <v>Y</v>
      </c>
      <c r="I71" s="94"/>
      <c r="J71" s="99" t="str">
        <f>'Plot By Plot SoA'!L300</f>
        <v>Y</v>
      </c>
      <c r="K71" s="97"/>
      <c r="L71" s="92"/>
      <c r="M71" s="92"/>
      <c r="N71" s="94"/>
    </row>
    <row r="72" spans="1:20" s="128" customFormat="1" x14ac:dyDescent="0.25">
      <c r="A72" s="88">
        <v>61</v>
      </c>
      <c r="B72" s="98">
        <f>'Plot By Plot SoA'!C301</f>
        <v>270</v>
      </c>
      <c r="C72" s="92">
        <f>'Plot By Plot SoA'!D301</f>
        <v>51.2</v>
      </c>
      <c r="D72" s="127">
        <f>'Plot By Plot SoA'!E301</f>
        <v>551.11167999999998</v>
      </c>
      <c r="E72" s="90"/>
      <c r="F72" s="97"/>
      <c r="G72" s="97"/>
      <c r="H72" s="93" t="str">
        <f>'Plot By Plot SoA'!J301</f>
        <v>Y</v>
      </c>
      <c r="I72" s="94"/>
      <c r="J72" s="99" t="str">
        <f>'Plot By Plot SoA'!L301</f>
        <v>Y</v>
      </c>
      <c r="K72" s="97"/>
      <c r="L72" s="92"/>
      <c r="M72" s="92"/>
      <c r="N72" s="94"/>
    </row>
    <row r="73" spans="1:20" s="128" customFormat="1" x14ac:dyDescent="0.25">
      <c r="A73" s="88">
        <v>62</v>
      </c>
      <c r="B73" s="98">
        <f>'Plot By Plot SoA'!C302</f>
        <v>271</v>
      </c>
      <c r="C73" s="92">
        <f>'Plot By Plot SoA'!D302</f>
        <v>43.4</v>
      </c>
      <c r="D73" s="127">
        <f>'Plot By Plot SoA'!E302</f>
        <v>467.15325999999999</v>
      </c>
      <c r="E73" s="90"/>
      <c r="F73" s="97"/>
      <c r="G73" s="97"/>
      <c r="H73" s="93" t="str">
        <f>'Plot By Plot SoA'!J302</f>
        <v>Y</v>
      </c>
      <c r="I73" s="94"/>
      <c r="J73" s="99" t="str">
        <f>'Plot By Plot SoA'!L302</f>
        <v>Y</v>
      </c>
      <c r="K73" s="97"/>
      <c r="L73" s="92"/>
      <c r="M73" s="92"/>
      <c r="N73" s="94"/>
    </row>
    <row r="74" spans="1:20" s="128" customFormat="1" x14ac:dyDescent="0.25">
      <c r="A74" s="88">
        <v>63</v>
      </c>
      <c r="B74" s="98">
        <f>'Plot By Plot SoA'!C303</f>
        <v>272</v>
      </c>
      <c r="C74" s="92">
        <f>'Plot By Plot SoA'!D303</f>
        <v>43.4</v>
      </c>
      <c r="D74" s="127">
        <f>'Plot By Plot SoA'!E303</f>
        <v>467.15325999999999</v>
      </c>
      <c r="E74" s="90"/>
      <c r="F74" s="97"/>
      <c r="G74" s="97"/>
      <c r="H74" s="93" t="str">
        <f>'Plot By Plot SoA'!J303</f>
        <v>Y</v>
      </c>
      <c r="I74" s="94"/>
      <c r="J74" s="99" t="str">
        <f>'Plot By Plot SoA'!L303</f>
        <v>Y</v>
      </c>
      <c r="K74" s="97"/>
      <c r="L74" s="92"/>
      <c r="M74" s="92"/>
      <c r="N74" s="94"/>
    </row>
    <row r="75" spans="1:20" s="128" customFormat="1" x14ac:dyDescent="0.25">
      <c r="A75" s="88">
        <v>64</v>
      </c>
      <c r="B75" s="98">
        <f>'Plot By Plot SoA'!C305</f>
        <v>274</v>
      </c>
      <c r="C75" s="92">
        <f>'Plot By Plot SoA'!D305</f>
        <v>39.200000000000003</v>
      </c>
      <c r="D75" s="127">
        <f>'Plot By Plot SoA'!E305</f>
        <v>421.94488000000001</v>
      </c>
      <c r="E75" s="90"/>
      <c r="F75" s="97"/>
      <c r="G75" s="97"/>
      <c r="H75" s="93">
        <f>'Plot By Plot SoA'!J305</f>
        <v>0</v>
      </c>
      <c r="I75" s="94"/>
      <c r="J75" s="99" t="str">
        <f>'Plot By Plot SoA'!L305</f>
        <v>Y</v>
      </c>
      <c r="K75" s="97"/>
      <c r="L75" s="92"/>
      <c r="M75" s="92"/>
      <c r="N75" s="94"/>
    </row>
    <row r="76" spans="1:20" s="128" customFormat="1" x14ac:dyDescent="0.25">
      <c r="A76" s="88">
        <v>65</v>
      </c>
      <c r="B76" s="98">
        <f>'Plot By Plot SoA'!C306</f>
        <v>275</v>
      </c>
      <c r="C76" s="92">
        <f>'Plot By Plot SoA'!D306</f>
        <v>57.8</v>
      </c>
      <c r="D76" s="127">
        <f>'Plot By Plot SoA'!E306</f>
        <v>622.15341999999998</v>
      </c>
      <c r="E76" s="90"/>
      <c r="F76" s="97"/>
      <c r="G76" s="97" t="str">
        <f>'Plot By Plot SoA'!I306</f>
        <v>Y</v>
      </c>
      <c r="H76" s="93"/>
      <c r="I76" s="94"/>
      <c r="J76" s="99"/>
      <c r="K76" s="97">
        <f>'Plot By Plot SoA'!M306</f>
        <v>0</v>
      </c>
      <c r="L76" s="92"/>
      <c r="M76" s="92"/>
      <c r="N76" s="94"/>
    </row>
    <row r="77" spans="1:20" s="128" customFormat="1" x14ac:dyDescent="0.25">
      <c r="A77" s="88">
        <v>66</v>
      </c>
      <c r="B77" s="98">
        <f>'Plot By Plot SoA'!C307</f>
        <v>276</v>
      </c>
      <c r="C77" s="92">
        <f>'Plot By Plot SoA'!D307</f>
        <v>57.8</v>
      </c>
      <c r="D77" s="127">
        <f>'Plot By Plot SoA'!E307</f>
        <v>622.15341999999998</v>
      </c>
      <c r="E77" s="90"/>
      <c r="F77" s="97"/>
      <c r="G77" s="97" t="str">
        <f>'Plot By Plot SoA'!I307</f>
        <v>Y</v>
      </c>
      <c r="H77" s="93"/>
      <c r="I77" s="94"/>
      <c r="J77" s="99"/>
      <c r="K77" s="97">
        <f>'Plot By Plot SoA'!M307</f>
        <v>0</v>
      </c>
      <c r="L77" s="92"/>
      <c r="M77" s="92"/>
      <c r="N77" s="94"/>
    </row>
    <row r="78" spans="1:20" s="128" customFormat="1" x14ac:dyDescent="0.25">
      <c r="A78" s="88">
        <v>67</v>
      </c>
      <c r="B78" s="98">
        <f>'Plot By Plot SoA'!C308</f>
        <v>277</v>
      </c>
      <c r="C78" s="92">
        <f>'Plot By Plot SoA'!D308</f>
        <v>50.1</v>
      </c>
      <c r="D78" s="127">
        <f>'Plot By Plot SoA'!E308</f>
        <v>539.27139</v>
      </c>
      <c r="E78" s="90"/>
      <c r="F78" s="97"/>
      <c r="G78" s="97">
        <f>'Plot By Plot SoA'!I308</f>
        <v>0</v>
      </c>
      <c r="H78" s="93"/>
      <c r="I78" s="94"/>
      <c r="J78" s="99"/>
      <c r="K78" s="97">
        <f>'Plot By Plot SoA'!M308</f>
        <v>0</v>
      </c>
      <c r="L78" s="92"/>
      <c r="M78" s="92"/>
      <c r="N78" s="94"/>
    </row>
    <row r="79" spans="1:20" s="128" customFormat="1" x14ac:dyDescent="0.25">
      <c r="A79" s="88">
        <v>68</v>
      </c>
      <c r="B79" s="98">
        <f>'Plot By Plot SoA'!C309</f>
        <v>278</v>
      </c>
      <c r="C79" s="92">
        <f>'Plot By Plot SoA'!D309</f>
        <v>100.1</v>
      </c>
      <c r="D79" s="127">
        <f>'Plot By Plot SoA'!E309</f>
        <v>1077.4663899999998</v>
      </c>
      <c r="E79" s="90"/>
      <c r="F79" s="97"/>
      <c r="G79" s="97" t="str">
        <f>'Plot By Plot SoA'!I309</f>
        <v>Y</v>
      </c>
      <c r="H79" s="93"/>
      <c r="I79" s="94"/>
      <c r="J79" s="99"/>
      <c r="K79" s="97" t="str">
        <f>'Plot By Plot SoA'!M309</f>
        <v>Y</v>
      </c>
      <c r="L79" s="92"/>
      <c r="M79" s="92"/>
      <c r="N79" s="94"/>
    </row>
    <row r="80" spans="1:20" s="128" customFormat="1" x14ac:dyDescent="0.25">
      <c r="A80" s="88">
        <v>69</v>
      </c>
      <c r="B80" s="98">
        <f>'Plot By Plot SoA'!C310</f>
        <v>279</v>
      </c>
      <c r="C80" s="92">
        <f>'Plot By Plot SoA'!D310</f>
        <v>57.8</v>
      </c>
      <c r="D80" s="127">
        <f>'Plot By Plot SoA'!E310</f>
        <v>622.15341999999998</v>
      </c>
      <c r="E80" s="90"/>
      <c r="F80" s="97"/>
      <c r="G80" s="97" t="str">
        <f>'Plot By Plot SoA'!I310</f>
        <v>Y</v>
      </c>
      <c r="H80" s="93"/>
      <c r="I80" s="94"/>
      <c r="J80" s="99"/>
      <c r="K80" s="97">
        <f>'Plot By Plot SoA'!M310</f>
        <v>0</v>
      </c>
      <c r="L80" s="92"/>
      <c r="M80" s="92"/>
      <c r="N80" s="94"/>
    </row>
    <row r="81" spans="1:20" s="128" customFormat="1" x14ac:dyDescent="0.25">
      <c r="A81" s="88">
        <v>70</v>
      </c>
      <c r="B81" s="98">
        <f>'Plot By Plot SoA'!C311</f>
        <v>280</v>
      </c>
      <c r="C81" s="92">
        <f>'Plot By Plot SoA'!D311</f>
        <v>57.8</v>
      </c>
      <c r="D81" s="127">
        <f>'Plot By Plot SoA'!E311</f>
        <v>622.15341999999998</v>
      </c>
      <c r="E81" s="90"/>
      <c r="F81" s="97"/>
      <c r="G81" s="97" t="str">
        <f>'Plot By Plot SoA'!I311</f>
        <v>Y</v>
      </c>
      <c r="H81" s="93"/>
      <c r="I81" s="94"/>
      <c r="J81" s="99"/>
      <c r="K81" s="97">
        <f>'Plot By Plot SoA'!M311</f>
        <v>0</v>
      </c>
      <c r="L81" s="92"/>
      <c r="M81" s="92"/>
      <c r="N81" s="94"/>
    </row>
    <row r="82" spans="1:20" s="128" customFormat="1" x14ac:dyDescent="0.25">
      <c r="A82" s="88">
        <v>71</v>
      </c>
      <c r="B82" s="98">
        <f>'Plot By Plot SoA'!C313</f>
        <v>282</v>
      </c>
      <c r="C82" s="92">
        <f>'Plot By Plot SoA'!D313</f>
        <v>69.599999999999994</v>
      </c>
      <c r="D82" s="127">
        <f>'Plot By Plot SoA'!E313</f>
        <v>749.16743999999994</v>
      </c>
      <c r="E82" s="90"/>
      <c r="F82" s="97"/>
      <c r="G82" s="97" t="str">
        <f>'Plot By Plot SoA'!I313</f>
        <v>Y</v>
      </c>
      <c r="H82" s="93"/>
      <c r="I82" s="94"/>
      <c r="J82" s="99"/>
      <c r="K82" s="97" t="str">
        <f>'Plot By Plot SoA'!M313</f>
        <v>Y</v>
      </c>
      <c r="L82" s="92"/>
      <c r="M82" s="92"/>
      <c r="N82" s="94"/>
    </row>
    <row r="83" spans="1:20" s="128" customFormat="1" x14ac:dyDescent="0.25">
      <c r="A83" s="88">
        <v>72</v>
      </c>
      <c r="B83" s="98">
        <f>'Plot By Plot SoA'!C316</f>
        <v>285</v>
      </c>
      <c r="C83" s="92">
        <f>'Plot By Plot SoA'!D316</f>
        <v>87.3</v>
      </c>
      <c r="D83" s="127">
        <f>'Plot By Plot SoA'!E316</f>
        <v>939.68846999999994</v>
      </c>
      <c r="E83" s="90"/>
      <c r="F83" s="97"/>
      <c r="G83" s="97" t="str">
        <f>'Plot By Plot SoA'!I316</f>
        <v>Y</v>
      </c>
      <c r="H83" s="93"/>
      <c r="I83" s="94"/>
      <c r="J83" s="99"/>
      <c r="K83" s="97">
        <f>'Plot By Plot SoA'!M316</f>
        <v>0</v>
      </c>
      <c r="L83" s="92"/>
      <c r="M83" s="92"/>
      <c r="N83" s="94"/>
    </row>
    <row r="84" spans="1:20" s="128" customFormat="1" x14ac:dyDescent="0.25">
      <c r="A84" s="88">
        <v>73</v>
      </c>
      <c r="B84" s="98">
        <f>'Plot By Plot SoA'!C319</f>
        <v>288</v>
      </c>
      <c r="C84" s="92">
        <f>'Plot By Plot SoA'!D319</f>
        <v>69.599999999999994</v>
      </c>
      <c r="D84" s="127">
        <f>'Plot By Plot SoA'!E319</f>
        <v>749.16743999999994</v>
      </c>
      <c r="E84" s="90"/>
      <c r="F84" s="97"/>
      <c r="G84" s="97"/>
      <c r="H84" s="93">
        <f>'Plot By Plot SoA'!J319</f>
        <v>0</v>
      </c>
      <c r="I84" s="94"/>
      <c r="J84" s="99">
        <f>'Plot By Plot SoA'!L319</f>
        <v>0</v>
      </c>
      <c r="K84" s="97"/>
      <c r="L84" s="92"/>
      <c r="M84" s="92"/>
      <c r="N84" s="94"/>
    </row>
    <row r="85" spans="1:20" s="128" customFormat="1" ht="15.75" thickBot="1" x14ac:dyDescent="0.3">
      <c r="A85" s="88">
        <v>74</v>
      </c>
      <c r="B85" s="102">
        <f>'Plot By Plot SoA'!C320</f>
        <v>289</v>
      </c>
      <c r="C85" s="105">
        <f>'Plot By Plot SoA'!D320</f>
        <v>59.4</v>
      </c>
      <c r="D85" s="127">
        <f>C85*10.7639</f>
        <v>639.37565999999993</v>
      </c>
      <c r="E85" s="103"/>
      <c r="F85" s="109"/>
      <c r="G85" s="109"/>
      <c r="H85" s="93" t="str">
        <f>'Plot By Plot SoA'!J320</f>
        <v>Y</v>
      </c>
      <c r="I85" s="94"/>
      <c r="J85" s="108"/>
      <c r="K85" s="109"/>
      <c r="L85" s="105" t="s">
        <v>9</v>
      </c>
      <c r="M85" s="105"/>
      <c r="N85" s="94"/>
    </row>
    <row r="86" spans="1:20" s="128" customFormat="1" ht="39" customHeight="1" thickBot="1" x14ac:dyDescent="0.3">
      <c r="A86" s="162" t="s">
        <v>50</v>
      </c>
      <c r="B86" s="163">
        <f>COUNTA(B63:B85)</f>
        <v>23</v>
      </c>
      <c r="C86" s="168">
        <f>SUM(C63:C85)</f>
        <v>1235.0999999999999</v>
      </c>
      <c r="D86" s="133">
        <f>SUM(C86*10.7639)</f>
        <v>13294.492889999998</v>
      </c>
      <c r="E86" s="168">
        <f t="shared" ref="E86:N86" si="3">COUNTA(E63:E85)</f>
        <v>0</v>
      </c>
      <c r="F86" s="130">
        <f t="shared" si="3"/>
        <v>1</v>
      </c>
      <c r="G86" s="147">
        <f t="shared" si="3"/>
        <v>11</v>
      </c>
      <c r="H86" s="163">
        <f t="shared" si="3"/>
        <v>11</v>
      </c>
      <c r="I86" s="131">
        <f t="shared" si="3"/>
        <v>0</v>
      </c>
      <c r="J86" s="130">
        <f t="shared" si="3"/>
        <v>10</v>
      </c>
      <c r="K86" s="147">
        <f t="shared" si="3"/>
        <v>11</v>
      </c>
      <c r="L86" s="147">
        <f t="shared" si="3"/>
        <v>2</v>
      </c>
      <c r="M86" s="130">
        <f t="shared" si="3"/>
        <v>0</v>
      </c>
      <c r="N86" s="149">
        <f t="shared" si="3"/>
        <v>0</v>
      </c>
    </row>
    <row r="87" spans="1:20" s="128" customFormat="1" ht="45.75" thickBot="1" x14ac:dyDescent="0.3">
      <c r="A87" s="981"/>
      <c r="B87" s="69" t="s">
        <v>5</v>
      </c>
      <c r="C87" s="169"/>
      <c r="D87" s="170"/>
      <c r="E87" s="12">
        <f t="shared" ref="E87:N87" si="4">COUNTA(E6:E13,E16:E50,E53:E60,E63:E85)</f>
        <v>0</v>
      </c>
      <c r="F87" s="12">
        <f t="shared" si="4"/>
        <v>3</v>
      </c>
      <c r="G87" s="12">
        <f t="shared" si="4"/>
        <v>40</v>
      </c>
      <c r="H87" s="12">
        <f t="shared" si="4"/>
        <v>31</v>
      </c>
      <c r="I87" s="123">
        <f t="shared" si="4"/>
        <v>0</v>
      </c>
      <c r="J87" s="65">
        <f t="shared" si="4"/>
        <v>27</v>
      </c>
      <c r="K87" s="12">
        <f t="shared" si="4"/>
        <v>45</v>
      </c>
      <c r="L87" s="12">
        <f t="shared" si="4"/>
        <v>2</v>
      </c>
      <c r="M87" s="12">
        <f t="shared" si="4"/>
        <v>0</v>
      </c>
      <c r="N87" s="123">
        <f t="shared" si="4"/>
        <v>0</v>
      </c>
    </row>
    <row r="88" spans="1:20" s="128" customFormat="1" ht="30.75" thickBot="1" x14ac:dyDescent="0.3">
      <c r="A88" s="982"/>
      <c r="B88" s="70" t="s">
        <v>6</v>
      </c>
      <c r="C88" s="972" t="e">
        <f>SUM(C6:C13,C63:C85,C53:C60,C16:C50)</f>
        <v>#REF!</v>
      </c>
      <c r="D88" s="973"/>
      <c r="E88" s="973"/>
      <c r="F88" s="973"/>
      <c r="G88" s="973"/>
      <c r="H88" s="973"/>
      <c r="I88" s="974"/>
      <c r="J88" s="72">
        <f>SUM(1/J89*J87)</f>
        <v>0.36486486486486491</v>
      </c>
      <c r="K88" s="73">
        <f>SUM(1/J89*K87)</f>
        <v>0.60810810810810811</v>
      </c>
      <c r="L88" s="73">
        <f>SUM(1/J89*L87)</f>
        <v>2.7027027027027029E-2</v>
      </c>
      <c r="M88" s="73">
        <f>SUM(1/J89*M87)</f>
        <v>0</v>
      </c>
      <c r="N88" s="74">
        <f>SUM(1/J89*N87)</f>
        <v>0</v>
      </c>
    </row>
    <row r="89" spans="1:20" s="128" customFormat="1" ht="45.75" thickBot="1" x14ac:dyDescent="0.3">
      <c r="A89" s="983"/>
      <c r="B89" s="71" t="s">
        <v>8</v>
      </c>
      <c r="C89" s="774" t="e">
        <f>SUM(C88*10.7639)</f>
        <v>#REF!</v>
      </c>
      <c r="D89" s="775"/>
      <c r="E89" s="775"/>
      <c r="F89" s="775"/>
      <c r="G89" s="775"/>
      <c r="H89" s="775"/>
      <c r="I89" s="776"/>
      <c r="J89" s="975">
        <f>SUM(J87:N87)</f>
        <v>74</v>
      </c>
      <c r="K89" s="976"/>
      <c r="L89" s="976"/>
      <c r="M89" s="976"/>
      <c r="N89" s="977"/>
    </row>
    <row r="90" spans="1:20" s="128" customFormat="1" ht="15.75" thickBot="1" x14ac:dyDescent="0.3">
      <c r="P90" s="988" t="s">
        <v>53</v>
      </c>
      <c r="Q90" s="989"/>
      <c r="R90" s="989"/>
      <c r="S90" s="989"/>
      <c r="T90" s="990"/>
    </row>
    <row r="91" spans="1:20" s="128" customFormat="1" ht="38.25" customHeight="1" x14ac:dyDescent="0.25">
      <c r="P91" s="182"/>
      <c r="Q91" s="191" t="s">
        <v>54</v>
      </c>
      <c r="R91" s="191" t="s">
        <v>17</v>
      </c>
      <c r="S91" s="192" t="s">
        <v>18</v>
      </c>
      <c r="T91" s="183" t="s">
        <v>55</v>
      </c>
    </row>
    <row r="92" spans="1:20" s="128" customFormat="1" x14ac:dyDescent="0.25">
      <c r="P92" s="180" t="s">
        <v>29</v>
      </c>
      <c r="Q92" s="128">
        <f t="shared" ref="Q92:S94" si="5">SUM(Q64,Q54,Q17,Q7)</f>
        <v>0</v>
      </c>
      <c r="R92" s="128">
        <f t="shared" si="5"/>
        <v>0</v>
      </c>
      <c r="S92" s="93">
        <f t="shared" si="5"/>
        <v>27</v>
      </c>
      <c r="T92" s="94">
        <f>SUM(Q92:S92)</f>
        <v>27</v>
      </c>
    </row>
    <row r="93" spans="1:20" s="128" customFormat="1" x14ac:dyDescent="0.25">
      <c r="P93" s="180" t="s">
        <v>30</v>
      </c>
      <c r="Q93" s="128">
        <f t="shared" si="5"/>
        <v>2</v>
      </c>
      <c r="R93" s="128">
        <f t="shared" si="5"/>
        <v>40</v>
      </c>
      <c r="S93" s="93">
        <f t="shared" si="5"/>
        <v>3</v>
      </c>
      <c r="T93" s="94">
        <f>SUM(Q93:S93)</f>
        <v>45</v>
      </c>
    </row>
    <row r="94" spans="1:20" s="128" customFormat="1" ht="15.75" thickBot="1" x14ac:dyDescent="0.3">
      <c r="P94" s="190" t="s">
        <v>31</v>
      </c>
      <c r="Q94" s="186">
        <f t="shared" si="5"/>
        <v>1</v>
      </c>
      <c r="R94" s="186">
        <f t="shared" si="5"/>
        <v>0</v>
      </c>
      <c r="S94" s="187">
        <f t="shared" si="5"/>
        <v>1</v>
      </c>
      <c r="T94" s="94">
        <f>SUM(Q94:S94)</f>
        <v>2</v>
      </c>
    </row>
    <row r="95" spans="1:20" s="128" customFormat="1" ht="15.75" thickBot="1" x14ac:dyDescent="0.3">
      <c r="P95" s="181" t="s">
        <v>55</v>
      </c>
      <c r="Q95" s="179">
        <f>SUM(Q92:Q94)</f>
        <v>3</v>
      </c>
      <c r="R95" s="179">
        <f>SUM(R92:R94)</f>
        <v>40</v>
      </c>
      <c r="S95" s="179">
        <f>SUM(S92:S94)</f>
        <v>31</v>
      </c>
      <c r="T95" s="178">
        <f>SUM(Q95:S95)</f>
        <v>74</v>
      </c>
    </row>
    <row r="96" spans="1:20" s="128" customFormat="1" x14ac:dyDescent="0.25"/>
    <row r="97" s="128" customFormat="1" x14ac:dyDescent="0.25"/>
    <row r="98" s="128" customFormat="1" x14ac:dyDescent="0.25"/>
    <row r="99" s="128" customFormat="1" ht="15" customHeight="1" x14ac:dyDescent="0.25"/>
    <row r="100" s="128" customFormat="1" x14ac:dyDescent="0.25"/>
    <row r="101" s="128" customFormat="1" x14ac:dyDescent="0.25"/>
    <row r="102" s="128" customFormat="1" x14ac:dyDescent="0.25"/>
    <row r="103" s="128" customFormat="1" x14ac:dyDescent="0.25"/>
    <row r="104" s="128" customFormat="1" x14ac:dyDescent="0.25"/>
    <row r="105" s="128" customFormat="1" x14ac:dyDescent="0.25"/>
    <row r="106" s="128" customFormat="1" x14ac:dyDescent="0.25"/>
    <row r="107" s="128" customFormat="1" x14ac:dyDescent="0.25"/>
    <row r="108" s="128" customFormat="1" x14ac:dyDescent="0.25"/>
    <row r="109" s="128" customFormat="1" x14ac:dyDescent="0.25"/>
    <row r="110" s="128" customFormat="1" x14ac:dyDescent="0.25"/>
    <row r="111" s="128" customFormat="1" x14ac:dyDescent="0.25"/>
  </sheetData>
  <mergeCells count="21">
    <mergeCell ref="P15:T15"/>
    <mergeCell ref="P5:T5"/>
    <mergeCell ref="P90:T90"/>
    <mergeCell ref="P62:T62"/>
    <mergeCell ref="A87:A89"/>
    <mergeCell ref="C88:I88"/>
    <mergeCell ref="C89:I89"/>
    <mergeCell ref="J89:N89"/>
    <mergeCell ref="P52:T52"/>
    <mergeCell ref="A1:A2"/>
    <mergeCell ref="B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N4"/>
  </mergeCells>
  <pageMargins left="0.7" right="0.7" top="0.75" bottom="0.75" header="0.3" footer="0.3"/>
  <pageSetup paperSize="8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Plot By Plot SoA</vt:lpstr>
      <vt:lpstr>Single &amp; Multi Family (Filtere)</vt:lpstr>
      <vt:lpstr>Block By Block SoA</vt:lpstr>
      <vt:lpstr>Commercial Units</vt:lpstr>
      <vt:lpstr>CIL Calculations</vt:lpstr>
      <vt:lpstr>Railing Schedule</vt:lpstr>
      <vt:lpstr>Ironmongery Schedule</vt:lpstr>
      <vt:lpstr>14 - Affordable A</vt:lpstr>
      <vt:lpstr>23 - Affordable B</vt:lpstr>
      <vt:lpstr>35 - Affordable C</vt:lpstr>
      <vt:lpstr>55 - Affordable D</vt:lpstr>
      <vt:lpstr>74 - Affordable E </vt:lpstr>
      <vt:lpstr>'Block By Block SoA'!Print_Area</vt:lpstr>
      <vt:lpstr>'Plot By Plot SoA'!Print_Area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Testa</dc:creator>
  <cp:lastModifiedBy>Toby Morlidge</cp:lastModifiedBy>
  <cp:lastPrinted>2025-06-18T16:00:54Z</cp:lastPrinted>
  <dcterms:created xsi:type="dcterms:W3CDTF">2023-11-24T07:49:57Z</dcterms:created>
  <dcterms:modified xsi:type="dcterms:W3CDTF">2025-06-18T16:00:58Z</dcterms:modified>
</cp:coreProperties>
</file>