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PROJECTS\19401\08-Exports\2026.01.07 - Build to rent Meeting\"/>
    </mc:Choice>
  </mc:AlternateContent>
  <xr:revisionPtr revIDLastSave="0" documentId="13_ncr:1_{D0277A00-65C0-4CEF-834F-0D6FBAA4CB8F}" xr6:coauthVersionLast="47" xr6:coauthVersionMax="47" xr10:uidLastSave="{00000000-0000-0000-0000-000000000000}"/>
  <bookViews>
    <workbookView xWindow="-120" yWindow="-120" windowWidth="29040" windowHeight="15720" xr2:uid="{741F4F2D-C1F1-4D2A-B830-0A6EE61DAC01}"/>
  </bookViews>
  <sheets>
    <sheet name="Marketing SoA" sheetId="17" r:id="rId1"/>
    <sheet name="Plot By Plot SoA" sheetId="1" r:id="rId2"/>
    <sheet name="Single &amp; Multi Family" sheetId="10" r:id="rId3"/>
    <sheet name="Block By Block SoA" sheetId="2" r:id="rId4"/>
    <sheet name="Commercial Units" sheetId="11" r:id="rId5"/>
    <sheet name="CIL Calculations" sheetId="13" r:id="rId6"/>
    <sheet name="Railing Schedule" sheetId="14" r:id="rId7"/>
    <sheet name="Ironmongery Schedule" sheetId="15" r:id="rId8"/>
    <sheet name="Plot-by-Plot Dwelling Info" sheetId="19" r:id="rId9"/>
    <sheet name="Modular Bathrooms" sheetId="20" r:id="rId10"/>
    <sheet name="14 - Affordable A" sheetId="3" state="hidden" r:id="rId11"/>
    <sheet name="23 - Affordable B" sheetId="4" state="hidden" r:id="rId12"/>
    <sheet name="35 - Affordable C" sheetId="5" state="hidden" r:id="rId13"/>
    <sheet name="55 - Affordable D" sheetId="6" state="hidden" r:id="rId14"/>
    <sheet name="74 - Affordable E " sheetId="7" state="hidden" r:id="rId15"/>
  </sheets>
  <externalReferences>
    <externalReference r:id="rId16"/>
  </externalReferences>
  <definedNames>
    <definedName name="_xlnm.Print_Area" localSheetId="3">'Block By Block SoA'!$A$1:$N$22</definedName>
    <definedName name="_xlnm.Print_Area" localSheetId="1">'Plot By Plot SoA'!$A$1:$P$367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0" i="17" l="1"/>
  <c r="T20" i="17"/>
  <c r="T19" i="17"/>
  <c r="U19" i="17"/>
  <c r="U21" i="17" s="1"/>
  <c r="T21" i="17"/>
  <c r="AD74" i="20"/>
  <c r="AB74" i="20"/>
  <c r="Z74" i="20"/>
  <c r="X74" i="20"/>
  <c r="AF74" i="20" s="1"/>
  <c r="AD73" i="20"/>
  <c r="AB73" i="20"/>
  <c r="Z73" i="20"/>
  <c r="X73" i="20"/>
  <c r="AF73" i="20" s="1"/>
  <c r="X72" i="20"/>
  <c r="AD71" i="20"/>
  <c r="AD72" i="20" s="1"/>
  <c r="AB71" i="20"/>
  <c r="AB72" i="20" s="1"/>
  <c r="Z71" i="20"/>
  <c r="Z72" i="20" s="1"/>
  <c r="X71" i="20"/>
  <c r="AD70" i="20"/>
  <c r="AB70" i="20"/>
  <c r="Z70" i="20"/>
  <c r="X70" i="20"/>
  <c r="AF70" i="20" s="1"/>
  <c r="AD68" i="20"/>
  <c r="AB68" i="20"/>
  <c r="Z68" i="20"/>
  <c r="X68" i="20"/>
  <c r="AF68" i="20" s="1"/>
  <c r="AD67" i="20"/>
  <c r="AD69" i="20" s="1"/>
  <c r="AB67" i="20"/>
  <c r="AB69" i="20" s="1"/>
  <c r="Z67" i="20"/>
  <c r="AF67" i="20" s="1"/>
  <c r="X67" i="20"/>
  <c r="X69" i="20" s="1"/>
  <c r="AD66" i="20"/>
  <c r="AB66" i="20"/>
  <c r="Z66" i="20"/>
  <c r="Z69" i="20" s="1"/>
  <c r="X66" i="20"/>
  <c r="AF66" i="20" s="1"/>
  <c r="AD65" i="20"/>
  <c r="AB65" i="20"/>
  <c r="Z65" i="20"/>
  <c r="X65" i="20"/>
  <c r="AF65" i="20" s="1"/>
  <c r="E321" i="19"/>
  <c r="E320" i="19"/>
  <c r="E319" i="19"/>
  <c r="E318" i="19"/>
  <c r="E317" i="19"/>
  <c r="E316" i="19"/>
  <c r="E315" i="19"/>
  <c r="E314" i="19"/>
  <c r="E313" i="19"/>
  <c r="E312" i="19"/>
  <c r="E311" i="19"/>
  <c r="E310" i="19"/>
  <c r="E309" i="19"/>
  <c r="E308" i="19"/>
  <c r="E307" i="19"/>
  <c r="E306" i="19"/>
  <c r="E305" i="19"/>
  <c r="E304" i="19"/>
  <c r="E303" i="19"/>
  <c r="E302" i="19"/>
  <c r="E301" i="19"/>
  <c r="E300" i="19"/>
  <c r="E299" i="19"/>
  <c r="E298" i="19"/>
  <c r="E297" i="19"/>
  <c r="E296" i="19"/>
  <c r="E295" i="19"/>
  <c r="E294" i="19"/>
  <c r="E293" i="19"/>
  <c r="E292" i="19"/>
  <c r="E291" i="19"/>
  <c r="E290" i="19"/>
  <c r="E289" i="19"/>
  <c r="E288" i="19"/>
  <c r="E287" i="19"/>
  <c r="E286" i="19"/>
  <c r="E285" i="19"/>
  <c r="E284" i="19"/>
  <c r="E283" i="19"/>
  <c r="E282" i="19"/>
  <c r="E281" i="19"/>
  <c r="E280" i="19"/>
  <c r="E279" i="19"/>
  <c r="E278" i="19"/>
  <c r="E277" i="19"/>
  <c r="E276" i="19"/>
  <c r="E275" i="19"/>
  <c r="E274" i="19"/>
  <c r="E273" i="19"/>
  <c r="E272" i="19"/>
  <c r="E271" i="19"/>
  <c r="E270" i="19"/>
  <c r="E269" i="19"/>
  <c r="E268" i="19"/>
  <c r="E267" i="19"/>
  <c r="E266" i="19"/>
  <c r="E265" i="19"/>
  <c r="E264" i="19"/>
  <c r="E263" i="19"/>
  <c r="E262" i="19"/>
  <c r="E261" i="19"/>
  <c r="E260" i="19"/>
  <c r="E259" i="19"/>
  <c r="E258" i="19"/>
  <c r="E257" i="19"/>
  <c r="E256" i="19"/>
  <c r="E255" i="19"/>
  <c r="E254" i="19"/>
  <c r="E253" i="19"/>
  <c r="E252" i="19"/>
  <c r="E251" i="19"/>
  <c r="E250" i="19"/>
  <c r="E249" i="19"/>
  <c r="E248" i="19"/>
  <c r="E247" i="19"/>
  <c r="E246" i="19"/>
  <c r="E245" i="19"/>
  <c r="E244" i="19"/>
  <c r="E243" i="19"/>
  <c r="E242" i="19"/>
  <c r="E241" i="19"/>
  <c r="E240" i="19"/>
  <c r="E239" i="19"/>
  <c r="E238" i="19"/>
  <c r="E237" i="19"/>
  <c r="E236" i="19"/>
  <c r="E235" i="19"/>
  <c r="E234" i="19"/>
  <c r="E233" i="19"/>
  <c r="E232" i="19"/>
  <c r="E231" i="19"/>
  <c r="E230" i="19"/>
  <c r="E229" i="19"/>
  <c r="E228" i="19"/>
  <c r="E227" i="19"/>
  <c r="E226" i="19"/>
  <c r="E225" i="19"/>
  <c r="E224" i="19"/>
  <c r="E223" i="19"/>
  <c r="E222" i="19"/>
  <c r="E221" i="19"/>
  <c r="E220" i="19"/>
  <c r="E219" i="19"/>
  <c r="E218" i="19"/>
  <c r="E217" i="19"/>
  <c r="E216" i="19"/>
  <c r="E215" i="19"/>
  <c r="E214" i="19"/>
  <c r="E213" i="19"/>
  <c r="E212" i="19"/>
  <c r="E211" i="19"/>
  <c r="E210" i="19"/>
  <c r="E209" i="19"/>
  <c r="E208" i="19"/>
  <c r="E207" i="19"/>
  <c r="E206" i="19"/>
  <c r="E205" i="19"/>
  <c r="E204" i="19"/>
  <c r="E203" i="19"/>
  <c r="E202" i="19"/>
  <c r="E201" i="19"/>
  <c r="E200" i="19"/>
  <c r="E199" i="19"/>
  <c r="E198" i="19"/>
  <c r="E197" i="19"/>
  <c r="E196" i="19"/>
  <c r="E195" i="19"/>
  <c r="E194" i="19"/>
  <c r="E193" i="19"/>
  <c r="E192" i="19"/>
  <c r="E191" i="19"/>
  <c r="E190" i="19"/>
  <c r="E189" i="19"/>
  <c r="E188" i="19"/>
  <c r="E187" i="19"/>
  <c r="E186" i="19"/>
  <c r="E185" i="19"/>
  <c r="E184" i="19"/>
  <c r="E183" i="19"/>
  <c r="E182" i="19"/>
  <c r="E181" i="19"/>
  <c r="E180" i="19"/>
  <c r="E179" i="19"/>
  <c r="E178" i="19"/>
  <c r="E177" i="19"/>
  <c r="E176" i="19"/>
  <c r="E175" i="19"/>
  <c r="E174" i="19"/>
  <c r="E173" i="19"/>
  <c r="E172" i="19"/>
  <c r="E171" i="19"/>
  <c r="E170" i="19"/>
  <c r="E169" i="19"/>
  <c r="E168" i="19"/>
  <c r="E167" i="19"/>
  <c r="E166" i="19"/>
  <c r="E165" i="19"/>
  <c r="E164" i="19"/>
  <c r="E163" i="19"/>
  <c r="E162" i="19"/>
  <c r="E161" i="19"/>
  <c r="E160" i="19"/>
  <c r="E159" i="19"/>
  <c r="E158" i="19"/>
  <c r="E157" i="19"/>
  <c r="E156" i="19"/>
  <c r="E155" i="19"/>
  <c r="E154" i="19"/>
  <c r="E153" i="19"/>
  <c r="E152" i="19"/>
  <c r="E151" i="19"/>
  <c r="E150" i="19"/>
  <c r="E149" i="19"/>
  <c r="E148" i="19"/>
  <c r="E147" i="19"/>
  <c r="E146" i="19"/>
  <c r="E145" i="19"/>
  <c r="E144" i="19"/>
  <c r="E143" i="19"/>
  <c r="E142" i="19"/>
  <c r="E141" i="19"/>
  <c r="E140" i="19"/>
  <c r="E139" i="19"/>
  <c r="E138" i="19"/>
  <c r="E137" i="19"/>
  <c r="E136" i="19"/>
  <c r="E135" i="19"/>
  <c r="E134" i="19"/>
  <c r="E133" i="19"/>
  <c r="E132" i="19"/>
  <c r="E131" i="19"/>
  <c r="E130" i="19"/>
  <c r="E129" i="19"/>
  <c r="E128" i="19"/>
  <c r="E127" i="19"/>
  <c r="E126" i="19"/>
  <c r="E125" i="19"/>
  <c r="E124" i="19"/>
  <c r="E123" i="19"/>
  <c r="E122" i="19"/>
  <c r="E121" i="19"/>
  <c r="E120" i="19"/>
  <c r="E119" i="19"/>
  <c r="E118" i="19"/>
  <c r="E117" i="19"/>
  <c r="E116" i="19"/>
  <c r="E115" i="19"/>
  <c r="E114" i="19"/>
  <c r="E113" i="19"/>
  <c r="E112" i="19"/>
  <c r="E111" i="19"/>
  <c r="E110" i="19"/>
  <c r="E109" i="19"/>
  <c r="E108" i="19"/>
  <c r="E107" i="19"/>
  <c r="E106" i="19"/>
  <c r="E105" i="19"/>
  <c r="E104" i="19"/>
  <c r="E103" i="19"/>
  <c r="E102" i="19"/>
  <c r="E101" i="19"/>
  <c r="E100" i="19"/>
  <c r="E99" i="19"/>
  <c r="E98" i="19"/>
  <c r="E97" i="19"/>
  <c r="E96" i="19"/>
  <c r="E95" i="19"/>
  <c r="E94" i="19"/>
  <c r="E93" i="19"/>
  <c r="E92" i="19"/>
  <c r="E91" i="19"/>
  <c r="E90" i="19"/>
  <c r="E89" i="19"/>
  <c r="E88" i="19"/>
  <c r="E87" i="19"/>
  <c r="E86" i="19"/>
  <c r="E85" i="19"/>
  <c r="E84" i="19"/>
  <c r="E83" i="19"/>
  <c r="E82" i="19"/>
  <c r="E81" i="19"/>
  <c r="E80" i="19"/>
  <c r="E79" i="19"/>
  <c r="E78" i="19"/>
  <c r="E77" i="19"/>
  <c r="E76" i="19"/>
  <c r="E75" i="19"/>
  <c r="E74" i="19"/>
  <c r="E73" i="19"/>
  <c r="E72" i="19"/>
  <c r="E71" i="19"/>
  <c r="E70" i="19"/>
  <c r="E69" i="19"/>
  <c r="E68" i="19"/>
  <c r="E67" i="19"/>
  <c r="E66" i="19"/>
  <c r="E65" i="19"/>
  <c r="E64" i="19"/>
  <c r="E63" i="19"/>
  <c r="E62" i="19"/>
  <c r="E61" i="19"/>
  <c r="E60" i="19"/>
  <c r="E59" i="19"/>
  <c r="E58" i="19"/>
  <c r="E57" i="19"/>
  <c r="E56" i="19"/>
  <c r="E55" i="19"/>
  <c r="E54" i="19"/>
  <c r="E53" i="19"/>
  <c r="E52" i="19"/>
  <c r="E51" i="19"/>
  <c r="E50" i="19"/>
  <c r="E49" i="19"/>
  <c r="E48" i="19"/>
  <c r="E47" i="19"/>
  <c r="E46" i="19"/>
  <c r="E45" i="19"/>
  <c r="E44" i="19"/>
  <c r="E43" i="19"/>
  <c r="E42" i="19"/>
  <c r="E41" i="19"/>
  <c r="E40" i="19"/>
  <c r="E39" i="19"/>
  <c r="E38" i="19"/>
  <c r="E37" i="19"/>
  <c r="E36" i="19"/>
  <c r="E35" i="19"/>
  <c r="E34" i="19"/>
  <c r="E33" i="19"/>
  <c r="E32" i="19"/>
  <c r="E31" i="19"/>
  <c r="E30" i="19"/>
  <c r="E29" i="19"/>
  <c r="E28" i="19"/>
  <c r="E27" i="19"/>
  <c r="E26" i="19"/>
  <c r="E25" i="19"/>
  <c r="E24" i="19"/>
  <c r="E23" i="19"/>
  <c r="E22" i="19"/>
  <c r="E21" i="19"/>
  <c r="E20" i="19"/>
  <c r="E19" i="19"/>
  <c r="E18" i="19"/>
  <c r="E17" i="19"/>
  <c r="E16" i="19"/>
  <c r="E15" i="19"/>
  <c r="E14" i="19"/>
  <c r="E13" i="19"/>
  <c r="E12" i="19"/>
  <c r="E11" i="19"/>
  <c r="E10" i="19"/>
  <c r="E9" i="19"/>
  <c r="E8" i="19"/>
  <c r="E7" i="19"/>
  <c r="E6" i="19"/>
  <c r="E5" i="19"/>
  <c r="AF72" i="20" l="1"/>
  <c r="AF69" i="20"/>
  <c r="AF71" i="20"/>
  <c r="AF75" i="20" l="1"/>
  <c r="K334" i="17" l="1"/>
  <c r="T13" i="17" s="1"/>
  <c r="L333" i="17"/>
  <c r="L332" i="17"/>
  <c r="L331" i="17"/>
  <c r="L330" i="17"/>
  <c r="L329" i="17"/>
  <c r="L334" i="17" s="1"/>
  <c r="U13" i="17" s="1"/>
  <c r="M389" i="1"/>
  <c r="M390" i="1"/>
  <c r="M391" i="1"/>
  <c r="M392" i="1"/>
  <c r="M388" i="1"/>
  <c r="T14" i="17"/>
  <c r="T8" i="17"/>
  <c r="F337" i="17"/>
  <c r="S36" i="17"/>
  <c r="Q35" i="17"/>
  <c r="R35" i="17"/>
  <c r="S35" i="17"/>
  <c r="T35" i="17"/>
  <c r="T36" i="17"/>
  <c r="R36" i="17"/>
  <c r="Q36" i="17"/>
  <c r="T33" i="17"/>
  <c r="S33" i="17"/>
  <c r="R33" i="17"/>
  <c r="T34" i="17"/>
  <c r="S34" i="17"/>
  <c r="Q33" i="17"/>
  <c r="Q34" i="17"/>
  <c r="R34" i="17"/>
  <c r="X51" i="17"/>
  <c r="X43" i="17"/>
  <c r="X44" i="17"/>
  <c r="X45" i="17"/>
  <c r="X46" i="17"/>
  <c r="X47" i="17"/>
  <c r="X48" i="17"/>
  <c r="X49" i="17"/>
  <c r="X50" i="17"/>
  <c r="X42" i="17"/>
  <c r="X41" i="17"/>
  <c r="R42" i="17"/>
  <c r="R43" i="17"/>
  <c r="R44" i="17"/>
  <c r="R45" i="17"/>
  <c r="R46" i="17"/>
  <c r="R47" i="17"/>
  <c r="R48" i="17"/>
  <c r="R49" i="17"/>
  <c r="R50" i="17"/>
  <c r="R41" i="17"/>
  <c r="W15" i="1"/>
  <c r="T7" i="17"/>
  <c r="U25" i="17"/>
  <c r="U26" i="17"/>
  <c r="U27" i="17"/>
  <c r="U28" i="17"/>
  <c r="R25" i="17"/>
  <c r="S25" i="17"/>
  <c r="T25" i="17"/>
  <c r="R28" i="17"/>
  <c r="S28" i="17"/>
  <c r="T28" i="17"/>
  <c r="Q26" i="17"/>
  <c r="Q27" i="17"/>
  <c r="Q28" i="17"/>
  <c r="R27" i="17"/>
  <c r="S27" i="17"/>
  <c r="T27" i="17"/>
  <c r="S26" i="17"/>
  <c r="T26" i="17"/>
  <c r="R26" i="17"/>
  <c r="Q25" i="17"/>
  <c r="U14" i="17" l="1"/>
  <c r="T15" i="17"/>
  <c r="U15" i="17"/>
  <c r="Q37" i="17"/>
  <c r="R37" i="17"/>
  <c r="T37" i="17"/>
  <c r="S37" i="17"/>
  <c r="U34" i="17"/>
  <c r="X52" i="17"/>
  <c r="U33" i="17"/>
  <c r="U36" i="17"/>
  <c r="U35" i="17"/>
  <c r="R51" i="17"/>
  <c r="T9" i="17"/>
  <c r="V28" i="17"/>
  <c r="V25" i="17"/>
  <c r="V26" i="17"/>
  <c r="S29" i="17"/>
  <c r="T29" i="17"/>
  <c r="U29" i="17"/>
  <c r="R29" i="17"/>
  <c r="V27" i="17"/>
  <c r="Q29" i="17"/>
  <c r="L20" i="10" a="1"/>
  <c r="L20" i="10" s="1"/>
  <c r="L19" i="10" a="1"/>
  <c r="L19" i="10" s="1"/>
  <c r="L18" i="10" a="1"/>
  <c r="L18" i="10"/>
  <c r="L17" i="10" a="1"/>
  <c r="L17" i="10"/>
  <c r="L7" i="10" a="1"/>
  <c r="L7" i="10"/>
  <c r="L6" i="10" a="1"/>
  <c r="L6" i="10" s="1"/>
  <c r="L5" i="10" a="1"/>
  <c r="L5" i="10"/>
  <c r="L4" i="10" a="1"/>
  <c r="L4" i="10"/>
  <c r="F349" i="17"/>
  <c r="F348" i="17"/>
  <c r="F347" i="17"/>
  <c r="F346" i="17"/>
  <c r="F345" i="17"/>
  <c r="F333" i="17"/>
  <c r="F332" i="17"/>
  <c r="F331" i="17"/>
  <c r="F330" i="17"/>
  <c r="F329" i="17"/>
  <c r="K324" i="17"/>
  <c r="A324" i="17"/>
  <c r="K322" i="17"/>
  <c r="K321" i="17"/>
  <c r="K320" i="17"/>
  <c r="K319" i="17"/>
  <c r="K318" i="17"/>
  <c r="K317" i="17"/>
  <c r="K316" i="17"/>
  <c r="K315" i="17"/>
  <c r="K314" i="17"/>
  <c r="K313" i="17"/>
  <c r="K312" i="17"/>
  <c r="K311" i="17"/>
  <c r="K310" i="17"/>
  <c r="K309" i="17"/>
  <c r="K308" i="17"/>
  <c r="K307" i="17"/>
  <c r="K306" i="17"/>
  <c r="K305" i="17"/>
  <c r="K304" i="17"/>
  <c r="K303" i="17"/>
  <c r="K302" i="17"/>
  <c r="K301" i="17"/>
  <c r="K300" i="17"/>
  <c r="K299" i="17"/>
  <c r="K298" i="17"/>
  <c r="K297" i="17"/>
  <c r="K296" i="17"/>
  <c r="K295" i="17"/>
  <c r="K294" i="17"/>
  <c r="K293" i="17"/>
  <c r="K292" i="17"/>
  <c r="K291" i="17"/>
  <c r="K290" i="17"/>
  <c r="K289" i="17"/>
  <c r="K288" i="17"/>
  <c r="K287" i="17"/>
  <c r="K286" i="17"/>
  <c r="K285" i="17"/>
  <c r="K284" i="17"/>
  <c r="K283" i="17"/>
  <c r="K282" i="17"/>
  <c r="K281" i="17"/>
  <c r="K280" i="17"/>
  <c r="K279" i="17"/>
  <c r="K278" i="17"/>
  <c r="K277" i="17"/>
  <c r="K276" i="17"/>
  <c r="K275" i="17"/>
  <c r="K274" i="17"/>
  <c r="K273" i="17"/>
  <c r="K272" i="17"/>
  <c r="K271" i="17"/>
  <c r="K270" i="17"/>
  <c r="K269" i="17"/>
  <c r="K268" i="17"/>
  <c r="K267" i="17"/>
  <c r="K266" i="17"/>
  <c r="K265" i="17"/>
  <c r="K264" i="17"/>
  <c r="K263" i="17"/>
  <c r="K262" i="17"/>
  <c r="K261" i="17"/>
  <c r="K260" i="17"/>
  <c r="K259" i="17"/>
  <c r="K258" i="17"/>
  <c r="K257" i="17"/>
  <c r="K256" i="17"/>
  <c r="K255" i="17"/>
  <c r="K254" i="17"/>
  <c r="K253" i="17"/>
  <c r="K252" i="17"/>
  <c r="K251" i="17"/>
  <c r="K250" i="17"/>
  <c r="K249" i="17"/>
  <c r="K248" i="17"/>
  <c r="K247" i="17"/>
  <c r="K246" i="17"/>
  <c r="K245" i="17"/>
  <c r="K244" i="17"/>
  <c r="K243" i="17"/>
  <c r="K242" i="17"/>
  <c r="K241" i="17"/>
  <c r="K240" i="17"/>
  <c r="K239" i="17"/>
  <c r="K238" i="17"/>
  <c r="K237" i="17"/>
  <c r="K236" i="17"/>
  <c r="K235" i="17"/>
  <c r="K234" i="17"/>
  <c r="K233" i="17"/>
  <c r="K232" i="17"/>
  <c r="K231" i="17"/>
  <c r="K230" i="17"/>
  <c r="K229" i="17"/>
  <c r="K228" i="17"/>
  <c r="K227" i="17"/>
  <c r="K226" i="17"/>
  <c r="K225" i="17"/>
  <c r="K224" i="17"/>
  <c r="K223" i="17"/>
  <c r="K222" i="17"/>
  <c r="K221" i="17"/>
  <c r="K220" i="17"/>
  <c r="K219" i="17"/>
  <c r="K218" i="17"/>
  <c r="K217" i="17"/>
  <c r="K216" i="17"/>
  <c r="K215" i="17"/>
  <c r="K214" i="17"/>
  <c r="K213" i="17"/>
  <c r="K212" i="17"/>
  <c r="K211" i="17"/>
  <c r="K210" i="17"/>
  <c r="K209" i="17"/>
  <c r="K208" i="17"/>
  <c r="K207" i="17"/>
  <c r="K206" i="17"/>
  <c r="K205" i="17"/>
  <c r="K204" i="17"/>
  <c r="K203" i="17"/>
  <c r="K202" i="17"/>
  <c r="K201" i="17"/>
  <c r="K200" i="17"/>
  <c r="K199" i="17"/>
  <c r="K198" i="17"/>
  <c r="K197" i="17"/>
  <c r="K196" i="17"/>
  <c r="K195" i="17"/>
  <c r="K194" i="17"/>
  <c r="K193" i="17"/>
  <c r="K192" i="17"/>
  <c r="K191" i="17"/>
  <c r="K190" i="17"/>
  <c r="K189" i="17"/>
  <c r="K188" i="17"/>
  <c r="K187" i="17"/>
  <c r="K186" i="17"/>
  <c r="K185" i="17"/>
  <c r="K184" i="17"/>
  <c r="K183" i="17"/>
  <c r="K182" i="17"/>
  <c r="K181" i="17"/>
  <c r="K180" i="17"/>
  <c r="K179" i="17"/>
  <c r="K178" i="17"/>
  <c r="K177" i="17"/>
  <c r="K176" i="17"/>
  <c r="K175" i="17"/>
  <c r="K174" i="17"/>
  <c r="K173" i="17"/>
  <c r="K172" i="17"/>
  <c r="K171" i="17"/>
  <c r="K170" i="17"/>
  <c r="K169" i="17"/>
  <c r="K168" i="17"/>
  <c r="K167" i="17"/>
  <c r="K166" i="17"/>
  <c r="K165" i="17"/>
  <c r="K164" i="17"/>
  <c r="K163" i="17"/>
  <c r="K162" i="17"/>
  <c r="K161" i="17"/>
  <c r="K160" i="17"/>
  <c r="K159" i="17"/>
  <c r="K158" i="17"/>
  <c r="K157" i="17"/>
  <c r="K156" i="17"/>
  <c r="K155" i="17"/>
  <c r="K154" i="17"/>
  <c r="K153" i="17"/>
  <c r="K152" i="17"/>
  <c r="K151" i="17"/>
  <c r="K150" i="17"/>
  <c r="K149" i="17"/>
  <c r="K148" i="17"/>
  <c r="K147" i="17"/>
  <c r="K146" i="17"/>
  <c r="K145" i="17"/>
  <c r="K144" i="17"/>
  <c r="K143" i="17"/>
  <c r="K142" i="17"/>
  <c r="K141" i="17"/>
  <c r="K140" i="17"/>
  <c r="K139" i="17"/>
  <c r="K138" i="17"/>
  <c r="K137" i="17"/>
  <c r="K136" i="17"/>
  <c r="K135" i="17"/>
  <c r="K134" i="17"/>
  <c r="K133" i="17"/>
  <c r="K132" i="17"/>
  <c r="K131" i="17"/>
  <c r="K130" i="17"/>
  <c r="K129" i="17"/>
  <c r="K128" i="17"/>
  <c r="K127" i="17"/>
  <c r="K126" i="17"/>
  <c r="K125" i="17"/>
  <c r="K124" i="17"/>
  <c r="K123" i="17"/>
  <c r="K122" i="17"/>
  <c r="K121" i="17"/>
  <c r="K120" i="17"/>
  <c r="K119" i="17"/>
  <c r="K118" i="17"/>
  <c r="K117" i="17"/>
  <c r="K116" i="17"/>
  <c r="K115" i="17"/>
  <c r="K114" i="17"/>
  <c r="K113" i="17"/>
  <c r="K112" i="17"/>
  <c r="K111" i="17"/>
  <c r="K110" i="17"/>
  <c r="K109" i="17"/>
  <c r="K108" i="17"/>
  <c r="K107" i="17"/>
  <c r="K106" i="17"/>
  <c r="K105" i="17"/>
  <c r="K104" i="17"/>
  <c r="K103" i="17"/>
  <c r="K102" i="17"/>
  <c r="K101" i="17"/>
  <c r="K100" i="17"/>
  <c r="K99" i="17"/>
  <c r="K98" i="17"/>
  <c r="K97" i="17"/>
  <c r="K96" i="17"/>
  <c r="K95" i="17"/>
  <c r="K94" i="17"/>
  <c r="K93" i="17"/>
  <c r="K92" i="17"/>
  <c r="K91" i="17"/>
  <c r="K90" i="17"/>
  <c r="K89" i="17"/>
  <c r="K88" i="17"/>
  <c r="K87" i="17"/>
  <c r="K86" i="17"/>
  <c r="K85" i="17"/>
  <c r="K84" i="17"/>
  <c r="K83" i="17"/>
  <c r="K82" i="17"/>
  <c r="K81" i="17"/>
  <c r="K80" i="17"/>
  <c r="K79" i="17"/>
  <c r="K78" i="17"/>
  <c r="K77" i="17"/>
  <c r="K76" i="17"/>
  <c r="K75" i="17"/>
  <c r="K74" i="17"/>
  <c r="K73" i="17"/>
  <c r="K72" i="17"/>
  <c r="K71" i="17"/>
  <c r="K70" i="17"/>
  <c r="K69" i="17"/>
  <c r="K68" i="17"/>
  <c r="K67" i="17"/>
  <c r="K66" i="17"/>
  <c r="K65" i="17"/>
  <c r="K64" i="17"/>
  <c r="K63" i="17"/>
  <c r="K62" i="17"/>
  <c r="K61" i="17"/>
  <c r="K60" i="17"/>
  <c r="K59" i="17"/>
  <c r="K58" i="17"/>
  <c r="K57" i="17"/>
  <c r="K56" i="17"/>
  <c r="K55" i="17"/>
  <c r="K54" i="17"/>
  <c r="K53" i="17"/>
  <c r="K52" i="17"/>
  <c r="K51" i="17"/>
  <c r="K50" i="17"/>
  <c r="K49" i="17"/>
  <c r="K48" i="17"/>
  <c r="K47" i="17"/>
  <c r="K46" i="17"/>
  <c r="K45" i="17"/>
  <c r="K44" i="17"/>
  <c r="K43" i="17"/>
  <c r="K42" i="17"/>
  <c r="K41" i="17"/>
  <c r="K40" i="17"/>
  <c r="K39" i="17"/>
  <c r="K38" i="17"/>
  <c r="K37" i="17"/>
  <c r="K36" i="17"/>
  <c r="K35" i="17"/>
  <c r="K34" i="17"/>
  <c r="K33" i="17"/>
  <c r="K32" i="17"/>
  <c r="K28" i="17"/>
  <c r="K27" i="17"/>
  <c r="K26" i="17"/>
  <c r="K25" i="17"/>
  <c r="K24" i="17"/>
  <c r="K23" i="17"/>
  <c r="K22" i="17"/>
  <c r="K21" i="17"/>
  <c r="K20" i="17"/>
  <c r="K31" i="17"/>
  <c r="K30" i="17"/>
  <c r="K29" i="17"/>
  <c r="K19" i="17"/>
  <c r="K18" i="17"/>
  <c r="K17" i="17"/>
  <c r="K16" i="17"/>
  <c r="K15" i="17"/>
  <c r="K14" i="17"/>
  <c r="K13" i="17"/>
  <c r="K12" i="17"/>
  <c r="K11" i="17"/>
  <c r="K10" i="17"/>
  <c r="K9" i="17"/>
  <c r="K8" i="17"/>
  <c r="K7" i="17"/>
  <c r="K6" i="17"/>
  <c r="Q364" i="1"/>
  <c r="I322" i="17"/>
  <c r="I318" i="17"/>
  <c r="I319" i="17"/>
  <c r="I320" i="17"/>
  <c r="I321" i="17"/>
  <c r="I305" i="17"/>
  <c r="I306" i="17"/>
  <c r="I307" i="17"/>
  <c r="I308" i="17"/>
  <c r="I309" i="17"/>
  <c r="I310" i="17"/>
  <c r="I311" i="17"/>
  <c r="I312" i="17"/>
  <c r="I313" i="17"/>
  <c r="I314" i="17"/>
  <c r="I315" i="17"/>
  <c r="I316" i="17"/>
  <c r="I317" i="17"/>
  <c r="I7" i="17"/>
  <c r="I8" i="17"/>
  <c r="I9" i="17"/>
  <c r="I10" i="17"/>
  <c r="I11" i="17"/>
  <c r="I12" i="17"/>
  <c r="I13" i="17"/>
  <c r="I14" i="17"/>
  <c r="I15" i="17"/>
  <c r="I16" i="17"/>
  <c r="I17" i="17"/>
  <c r="I18" i="17"/>
  <c r="I19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I40" i="17"/>
  <c r="I41" i="17"/>
  <c r="I42" i="17"/>
  <c r="I43" i="17"/>
  <c r="I44" i="17"/>
  <c r="I45" i="17"/>
  <c r="I46" i="17"/>
  <c r="I47" i="17"/>
  <c r="I48" i="17"/>
  <c r="I49" i="17"/>
  <c r="I50" i="17"/>
  <c r="I51" i="17"/>
  <c r="I52" i="17"/>
  <c r="I53" i="17"/>
  <c r="I54" i="17"/>
  <c r="I55" i="17"/>
  <c r="I56" i="17"/>
  <c r="I57" i="17"/>
  <c r="I58" i="17"/>
  <c r="I59" i="17"/>
  <c r="I60" i="17"/>
  <c r="I61" i="17"/>
  <c r="I62" i="17"/>
  <c r="I63" i="17"/>
  <c r="I64" i="17"/>
  <c r="I65" i="17"/>
  <c r="I66" i="17"/>
  <c r="I67" i="17"/>
  <c r="I68" i="17"/>
  <c r="I69" i="17"/>
  <c r="I70" i="17"/>
  <c r="I71" i="17"/>
  <c r="I72" i="17"/>
  <c r="I73" i="17"/>
  <c r="I74" i="17"/>
  <c r="I75" i="17"/>
  <c r="I76" i="17"/>
  <c r="I77" i="17"/>
  <c r="I78" i="17"/>
  <c r="I79" i="17"/>
  <c r="I80" i="17"/>
  <c r="I81" i="17"/>
  <c r="I82" i="17"/>
  <c r="I83" i="17"/>
  <c r="I84" i="17"/>
  <c r="I85" i="17"/>
  <c r="I86" i="17"/>
  <c r="I87" i="17"/>
  <c r="I88" i="17"/>
  <c r="I89" i="17"/>
  <c r="I90" i="17"/>
  <c r="I91" i="17"/>
  <c r="I92" i="17"/>
  <c r="I93" i="17"/>
  <c r="I94" i="17"/>
  <c r="I95" i="17"/>
  <c r="I96" i="17"/>
  <c r="I97" i="17"/>
  <c r="I98" i="17"/>
  <c r="I99" i="17"/>
  <c r="I100" i="17"/>
  <c r="I101" i="17"/>
  <c r="I102" i="17"/>
  <c r="I103" i="17"/>
  <c r="I104" i="17"/>
  <c r="I105" i="17"/>
  <c r="I106" i="17"/>
  <c r="I107" i="17"/>
  <c r="I108" i="17"/>
  <c r="I109" i="17"/>
  <c r="I110" i="17"/>
  <c r="I111" i="17"/>
  <c r="I112" i="17"/>
  <c r="I113" i="17"/>
  <c r="I114" i="17"/>
  <c r="I115" i="17"/>
  <c r="I116" i="17"/>
  <c r="I117" i="17"/>
  <c r="I118" i="17"/>
  <c r="I119" i="17"/>
  <c r="I120" i="17"/>
  <c r="I121" i="17"/>
  <c r="I122" i="17"/>
  <c r="I123" i="17"/>
  <c r="I124" i="17"/>
  <c r="I125" i="17"/>
  <c r="I126" i="17"/>
  <c r="I127" i="17"/>
  <c r="I128" i="17"/>
  <c r="I129" i="17"/>
  <c r="I130" i="17"/>
  <c r="I131" i="17"/>
  <c r="I132" i="17"/>
  <c r="I133" i="17"/>
  <c r="I134" i="17"/>
  <c r="I135" i="17"/>
  <c r="I136" i="17"/>
  <c r="I137" i="17"/>
  <c r="I138" i="17"/>
  <c r="I139" i="17"/>
  <c r="I140" i="17"/>
  <c r="I141" i="17"/>
  <c r="I142" i="17"/>
  <c r="I143" i="17"/>
  <c r="I144" i="17"/>
  <c r="I145" i="17"/>
  <c r="I146" i="17"/>
  <c r="I147" i="17"/>
  <c r="I148" i="17"/>
  <c r="I149" i="17"/>
  <c r="I150" i="17"/>
  <c r="I151" i="17"/>
  <c r="I152" i="17"/>
  <c r="I153" i="17"/>
  <c r="I154" i="17"/>
  <c r="I155" i="17"/>
  <c r="I156" i="17"/>
  <c r="I157" i="17"/>
  <c r="I158" i="17"/>
  <c r="I159" i="17"/>
  <c r="I160" i="17"/>
  <c r="I161" i="17"/>
  <c r="I162" i="17"/>
  <c r="I163" i="17"/>
  <c r="I164" i="17"/>
  <c r="I165" i="17"/>
  <c r="I166" i="17"/>
  <c r="I167" i="17"/>
  <c r="I168" i="17"/>
  <c r="I169" i="17"/>
  <c r="I170" i="17"/>
  <c r="I171" i="17"/>
  <c r="I172" i="17"/>
  <c r="I173" i="17"/>
  <c r="I174" i="17"/>
  <c r="I175" i="17"/>
  <c r="I176" i="17"/>
  <c r="I177" i="17"/>
  <c r="I178" i="17"/>
  <c r="I179" i="17"/>
  <c r="I180" i="17"/>
  <c r="I181" i="17"/>
  <c r="I182" i="17"/>
  <c r="I183" i="17"/>
  <c r="I184" i="17"/>
  <c r="I185" i="17"/>
  <c r="I186" i="17"/>
  <c r="I187" i="17"/>
  <c r="I188" i="17"/>
  <c r="I189" i="17"/>
  <c r="I190" i="17"/>
  <c r="I191" i="17"/>
  <c r="I192" i="17"/>
  <c r="I193" i="17"/>
  <c r="I194" i="17"/>
  <c r="I195" i="17"/>
  <c r="I196" i="17"/>
  <c r="I197" i="17"/>
  <c r="I198" i="17"/>
  <c r="I199" i="17"/>
  <c r="I200" i="17"/>
  <c r="I201" i="17"/>
  <c r="I202" i="17"/>
  <c r="I203" i="17"/>
  <c r="I204" i="17"/>
  <c r="I205" i="17"/>
  <c r="I206" i="17"/>
  <c r="I207" i="17"/>
  <c r="I208" i="17"/>
  <c r="I209" i="17"/>
  <c r="I210" i="17"/>
  <c r="I211" i="17"/>
  <c r="I212" i="17"/>
  <c r="I213" i="17"/>
  <c r="I214" i="17"/>
  <c r="I215" i="17"/>
  <c r="I216" i="17"/>
  <c r="I217" i="17"/>
  <c r="I218" i="17"/>
  <c r="I219" i="17"/>
  <c r="I220" i="17"/>
  <c r="I221" i="17"/>
  <c r="I222" i="17"/>
  <c r="I223" i="17"/>
  <c r="I224" i="17"/>
  <c r="I225" i="17"/>
  <c r="I226" i="17"/>
  <c r="I227" i="17"/>
  <c r="I228" i="17"/>
  <c r="I229" i="17"/>
  <c r="I230" i="17"/>
  <c r="I231" i="17"/>
  <c r="I232" i="17"/>
  <c r="I233" i="17"/>
  <c r="I234" i="17"/>
  <c r="I235" i="17"/>
  <c r="I236" i="17"/>
  <c r="I237" i="17"/>
  <c r="I238" i="17"/>
  <c r="I239" i="17"/>
  <c r="I240" i="17"/>
  <c r="I241" i="17"/>
  <c r="I242" i="17"/>
  <c r="I243" i="17"/>
  <c r="I244" i="17"/>
  <c r="I245" i="17"/>
  <c r="I246" i="17"/>
  <c r="I247" i="17"/>
  <c r="I248" i="17"/>
  <c r="I249" i="17"/>
  <c r="I250" i="17"/>
  <c r="I251" i="17"/>
  <c r="I252" i="17"/>
  <c r="I253" i="17"/>
  <c r="I254" i="17"/>
  <c r="I255" i="17"/>
  <c r="I256" i="17"/>
  <c r="I257" i="17"/>
  <c r="I258" i="17"/>
  <c r="I259" i="17"/>
  <c r="I260" i="17"/>
  <c r="I261" i="17"/>
  <c r="I262" i="17"/>
  <c r="I263" i="17"/>
  <c r="I264" i="17"/>
  <c r="I265" i="17"/>
  <c r="I266" i="17"/>
  <c r="I267" i="17"/>
  <c r="I268" i="17"/>
  <c r="I269" i="17"/>
  <c r="I270" i="17"/>
  <c r="I271" i="17"/>
  <c r="I272" i="17"/>
  <c r="I273" i="17"/>
  <c r="I274" i="17"/>
  <c r="I275" i="17"/>
  <c r="I276" i="17"/>
  <c r="I277" i="17"/>
  <c r="I278" i="17"/>
  <c r="I279" i="17"/>
  <c r="I280" i="17"/>
  <c r="I281" i="17"/>
  <c r="I282" i="17"/>
  <c r="I283" i="17"/>
  <c r="I284" i="17"/>
  <c r="I285" i="17"/>
  <c r="I286" i="17"/>
  <c r="I287" i="17"/>
  <c r="I288" i="17"/>
  <c r="I289" i="17"/>
  <c r="I290" i="17"/>
  <c r="I291" i="17"/>
  <c r="I292" i="17"/>
  <c r="I293" i="17"/>
  <c r="I294" i="17"/>
  <c r="I295" i="17"/>
  <c r="I296" i="17"/>
  <c r="I297" i="17"/>
  <c r="I298" i="17"/>
  <c r="I299" i="17"/>
  <c r="I300" i="17"/>
  <c r="I301" i="17"/>
  <c r="I302" i="17"/>
  <c r="I303" i="17"/>
  <c r="I304" i="17"/>
  <c r="I6" i="17"/>
  <c r="F322" i="17"/>
  <c r="F321" i="17"/>
  <c r="F320" i="17"/>
  <c r="F319" i="17"/>
  <c r="F318" i="17"/>
  <c r="F317" i="17"/>
  <c r="F316" i="17"/>
  <c r="F315" i="17"/>
  <c r="F314" i="17"/>
  <c r="F313" i="17"/>
  <c r="F312" i="17"/>
  <c r="F311" i="17"/>
  <c r="F310" i="17"/>
  <c r="F309" i="17"/>
  <c r="F308" i="17"/>
  <c r="F307" i="17"/>
  <c r="F306" i="17"/>
  <c r="F305" i="17"/>
  <c r="F304" i="17"/>
  <c r="F303" i="17"/>
  <c r="F302" i="17"/>
  <c r="F301" i="17"/>
  <c r="F300" i="17"/>
  <c r="F299" i="17"/>
  <c r="F298" i="17"/>
  <c r="F297" i="17"/>
  <c r="F296" i="17"/>
  <c r="F295" i="17"/>
  <c r="F294" i="17"/>
  <c r="F293" i="17"/>
  <c r="F292" i="17"/>
  <c r="F291" i="17"/>
  <c r="F290" i="17"/>
  <c r="F289" i="17"/>
  <c r="F288" i="17"/>
  <c r="F287" i="17"/>
  <c r="F286" i="17"/>
  <c r="F285" i="17"/>
  <c r="F284" i="17"/>
  <c r="F283" i="17"/>
  <c r="F282" i="17"/>
  <c r="F281" i="17"/>
  <c r="F280" i="17"/>
  <c r="F279" i="17"/>
  <c r="F278" i="17"/>
  <c r="F277" i="17"/>
  <c r="F276" i="17"/>
  <c r="F275" i="17"/>
  <c r="F274" i="17"/>
  <c r="F273" i="17"/>
  <c r="F272" i="17"/>
  <c r="F271" i="17"/>
  <c r="F270" i="17"/>
  <c r="F269" i="17"/>
  <c r="F268" i="17"/>
  <c r="F267" i="17"/>
  <c r="F266" i="17"/>
  <c r="F265" i="17"/>
  <c r="F264" i="17"/>
  <c r="F263" i="17"/>
  <c r="F262" i="17"/>
  <c r="F261" i="17"/>
  <c r="F260" i="17"/>
  <c r="F259" i="17"/>
  <c r="F258" i="17"/>
  <c r="F257" i="17"/>
  <c r="F256" i="17"/>
  <c r="F255" i="17"/>
  <c r="F254" i="17"/>
  <c r="F253" i="17"/>
  <c r="F252" i="17"/>
  <c r="F251" i="17"/>
  <c r="F250" i="17"/>
  <c r="F249" i="17"/>
  <c r="F248" i="17"/>
  <c r="F247" i="17"/>
  <c r="F246" i="17"/>
  <c r="F245" i="17"/>
  <c r="F244" i="17"/>
  <c r="F243" i="17"/>
  <c r="F242" i="17"/>
  <c r="F241" i="17"/>
  <c r="F240" i="17"/>
  <c r="F239" i="17"/>
  <c r="F238" i="17"/>
  <c r="F237" i="17"/>
  <c r="F236" i="17"/>
  <c r="F235" i="17"/>
  <c r="F234" i="17"/>
  <c r="F233" i="17"/>
  <c r="F232" i="17"/>
  <c r="F231" i="17"/>
  <c r="F230" i="17"/>
  <c r="F229" i="17"/>
  <c r="F228" i="17"/>
  <c r="F227" i="17"/>
  <c r="F226" i="17"/>
  <c r="F225" i="17"/>
  <c r="F224" i="17"/>
  <c r="F223" i="17"/>
  <c r="F222" i="17"/>
  <c r="F221" i="17"/>
  <c r="F220" i="17"/>
  <c r="F219" i="17"/>
  <c r="F218" i="17"/>
  <c r="F217" i="17"/>
  <c r="F216" i="17"/>
  <c r="F215" i="17"/>
  <c r="F214" i="17"/>
  <c r="F213" i="17"/>
  <c r="F212" i="17"/>
  <c r="F211" i="17"/>
  <c r="F210" i="17"/>
  <c r="F209" i="17"/>
  <c r="F208" i="17"/>
  <c r="F207" i="17"/>
  <c r="F206" i="17"/>
  <c r="F205" i="17"/>
  <c r="F204" i="17"/>
  <c r="F203" i="17"/>
  <c r="F202" i="17"/>
  <c r="F201" i="17"/>
  <c r="F200" i="17"/>
  <c r="F199" i="17"/>
  <c r="F198" i="17"/>
  <c r="F197" i="17"/>
  <c r="F196" i="17"/>
  <c r="F195" i="17"/>
  <c r="F194" i="17"/>
  <c r="F193" i="17"/>
  <c r="F192" i="17"/>
  <c r="F191" i="17"/>
  <c r="F190" i="17"/>
  <c r="F189" i="17"/>
  <c r="F188" i="17"/>
  <c r="F187" i="17"/>
  <c r="F186" i="17"/>
  <c r="F185" i="17"/>
  <c r="F184" i="17"/>
  <c r="F183" i="17"/>
  <c r="F182" i="17"/>
  <c r="F181" i="17"/>
  <c r="F180" i="17"/>
  <c r="F179" i="17"/>
  <c r="F178" i="17"/>
  <c r="F177" i="17"/>
  <c r="F176" i="17"/>
  <c r="F175" i="17"/>
  <c r="F174" i="17"/>
  <c r="F173" i="17"/>
  <c r="F172" i="17"/>
  <c r="F171" i="17"/>
  <c r="F170" i="17"/>
  <c r="F169" i="17"/>
  <c r="F168" i="17"/>
  <c r="F167" i="17"/>
  <c r="F166" i="17"/>
  <c r="F165" i="17"/>
  <c r="F164" i="17"/>
  <c r="F163" i="17"/>
  <c r="F162" i="17"/>
  <c r="F161" i="17"/>
  <c r="F160" i="17"/>
  <c r="F159" i="17"/>
  <c r="F158" i="17"/>
  <c r="F157" i="17"/>
  <c r="F156" i="17"/>
  <c r="F155" i="17"/>
  <c r="F154" i="17"/>
  <c r="F153" i="17"/>
  <c r="F152" i="17"/>
  <c r="F151" i="17"/>
  <c r="F150" i="17"/>
  <c r="F149" i="17"/>
  <c r="F148" i="17"/>
  <c r="F147" i="17"/>
  <c r="F146" i="17"/>
  <c r="F145" i="17"/>
  <c r="F144" i="17"/>
  <c r="F143" i="17"/>
  <c r="F142" i="17"/>
  <c r="F141" i="17"/>
  <c r="F140" i="17"/>
  <c r="F139" i="17"/>
  <c r="F138" i="17"/>
  <c r="F137" i="17"/>
  <c r="F136" i="17"/>
  <c r="F135" i="17"/>
  <c r="F134" i="17"/>
  <c r="F133" i="17"/>
  <c r="F132" i="17"/>
  <c r="F131" i="17"/>
  <c r="F130" i="17"/>
  <c r="F129" i="17"/>
  <c r="F128" i="17"/>
  <c r="F127" i="17"/>
  <c r="F126" i="17"/>
  <c r="F125" i="17"/>
  <c r="F124" i="17"/>
  <c r="F123" i="17"/>
  <c r="F122" i="17"/>
  <c r="F121" i="17"/>
  <c r="F120" i="17"/>
  <c r="F119" i="17"/>
  <c r="F118" i="17"/>
  <c r="F117" i="17"/>
  <c r="F116" i="17"/>
  <c r="F115" i="17"/>
  <c r="F114" i="17"/>
  <c r="F113" i="17"/>
  <c r="F112" i="17"/>
  <c r="F111" i="17"/>
  <c r="F110" i="17"/>
  <c r="F109" i="17"/>
  <c r="F108" i="17"/>
  <c r="F107" i="17"/>
  <c r="F106" i="17"/>
  <c r="F105" i="17"/>
  <c r="F104" i="17"/>
  <c r="F103" i="17"/>
  <c r="F102" i="17"/>
  <c r="F101" i="17"/>
  <c r="F100" i="17"/>
  <c r="F99" i="17"/>
  <c r="F98" i="17"/>
  <c r="F97" i="17"/>
  <c r="F96" i="17"/>
  <c r="F95" i="17"/>
  <c r="F94" i="17"/>
  <c r="F93" i="17"/>
  <c r="F92" i="17"/>
  <c r="F91" i="17"/>
  <c r="F90" i="17"/>
  <c r="F89" i="17"/>
  <c r="F88" i="17"/>
  <c r="F87" i="17"/>
  <c r="F86" i="17"/>
  <c r="F85" i="17"/>
  <c r="F84" i="17"/>
  <c r="F83" i="17"/>
  <c r="F82" i="17"/>
  <c r="F81" i="17"/>
  <c r="F80" i="17"/>
  <c r="F79" i="17"/>
  <c r="F78" i="17"/>
  <c r="F77" i="17"/>
  <c r="F76" i="17"/>
  <c r="F75" i="17"/>
  <c r="F74" i="17"/>
  <c r="F73" i="17"/>
  <c r="F72" i="17"/>
  <c r="F71" i="17"/>
  <c r="F70" i="17"/>
  <c r="F69" i="17"/>
  <c r="F68" i="17"/>
  <c r="F67" i="17"/>
  <c r="F66" i="17"/>
  <c r="F65" i="17"/>
  <c r="F64" i="17"/>
  <c r="F63" i="17"/>
  <c r="F62" i="17"/>
  <c r="F61" i="17"/>
  <c r="F60" i="17"/>
  <c r="F59" i="17"/>
  <c r="F58" i="17"/>
  <c r="F57" i="17"/>
  <c r="F56" i="17"/>
  <c r="F55" i="17"/>
  <c r="F54" i="17"/>
  <c r="F53" i="17"/>
  <c r="F52" i="17"/>
  <c r="F51" i="17"/>
  <c r="F50" i="17"/>
  <c r="F49" i="17"/>
  <c r="F48" i="17"/>
  <c r="F47" i="17"/>
  <c r="F46" i="17"/>
  <c r="F45" i="17"/>
  <c r="F44" i="17"/>
  <c r="F43" i="17"/>
  <c r="F42" i="17"/>
  <c r="F41" i="17"/>
  <c r="F40" i="17"/>
  <c r="F39" i="17"/>
  <c r="F38" i="17"/>
  <c r="F37" i="17"/>
  <c r="F36" i="17"/>
  <c r="F35" i="17"/>
  <c r="F34" i="17"/>
  <c r="F33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F19" i="17"/>
  <c r="F18" i="17"/>
  <c r="F17" i="17"/>
  <c r="F16" i="17"/>
  <c r="F15" i="17"/>
  <c r="F14" i="17"/>
  <c r="F13" i="17"/>
  <c r="F12" i="17"/>
  <c r="F11" i="17"/>
  <c r="F10" i="17"/>
  <c r="F9" i="17"/>
  <c r="F8" i="17"/>
  <c r="F7" i="17"/>
  <c r="F6" i="17"/>
  <c r="F335" i="17" l="1"/>
  <c r="U8" i="17" s="1"/>
  <c r="U37" i="17"/>
  <c r="F350" i="17"/>
  <c r="V29" i="17"/>
  <c r="D324" i="17"/>
  <c r="L336" i="17" s="1"/>
  <c r="U7" i="17" l="1"/>
  <c r="U9" i="17" s="1"/>
  <c r="F340" i="17"/>
  <c r="L340" i="17" s="1"/>
  <c r="W21" i="1"/>
  <c r="W17" i="1"/>
  <c r="AC26" i="1"/>
  <c r="AC24" i="1"/>
  <c r="AC25" i="1"/>
  <c r="AC23" i="1"/>
  <c r="AC22" i="1"/>
  <c r="AC21" i="1"/>
  <c r="AC20" i="1"/>
  <c r="AC19" i="1"/>
  <c r="AC18" i="1"/>
  <c r="AC17" i="1"/>
  <c r="AC16" i="1"/>
  <c r="AC15" i="1"/>
  <c r="E362" i="1"/>
  <c r="D362" i="1"/>
  <c r="B20" i="2"/>
  <c r="B21" i="2"/>
  <c r="F6" i="2"/>
  <c r="F7" i="2"/>
  <c r="F8" i="2"/>
  <c r="F9" i="2"/>
  <c r="F10" i="2"/>
  <c r="F11" i="2"/>
  <c r="F12" i="2"/>
  <c r="F13" i="2"/>
  <c r="F14" i="2"/>
  <c r="D361" i="1"/>
  <c r="M26" i="15"/>
  <c r="M25" i="15"/>
  <c r="M24" i="15"/>
  <c r="M23" i="15"/>
  <c r="M22" i="15"/>
  <c r="M21" i="15"/>
  <c r="M20" i="15"/>
  <c r="M19" i="15"/>
  <c r="M18" i="15"/>
  <c r="M17" i="15"/>
  <c r="M16" i="15"/>
  <c r="M15" i="15"/>
  <c r="M14" i="15"/>
  <c r="M13" i="15"/>
  <c r="M12" i="15"/>
  <c r="M11" i="15"/>
  <c r="M10" i="15"/>
  <c r="M9" i="15"/>
  <c r="M8" i="15"/>
  <c r="M19" i="14"/>
  <c r="M25" i="14"/>
  <c r="M24" i="14"/>
  <c r="M23" i="14"/>
  <c r="M22" i="14"/>
  <c r="M21" i="14"/>
  <c r="M20" i="14"/>
  <c r="M18" i="14"/>
  <c r="M17" i="14"/>
  <c r="M16" i="14"/>
  <c r="M15" i="14"/>
  <c r="M14" i="14"/>
  <c r="M13" i="14"/>
  <c r="M12" i="14"/>
  <c r="M11" i="14"/>
  <c r="M10" i="14"/>
  <c r="M9" i="14"/>
  <c r="M8" i="14"/>
  <c r="F29" i="11"/>
  <c r="G29" i="11"/>
  <c r="D29" i="11"/>
  <c r="G27" i="11"/>
  <c r="G28" i="11"/>
  <c r="F28" i="11"/>
  <c r="F27" i="11"/>
  <c r="E28" i="11"/>
  <c r="E27" i="11"/>
  <c r="E29" i="11" s="1"/>
  <c r="R8" i="13"/>
  <c r="S8" i="13" s="1"/>
  <c r="R10" i="13"/>
  <c r="R26" i="13"/>
  <c r="B12" i="13"/>
  <c r="S364" i="1"/>
  <c r="C21" i="11"/>
  <c r="D41" i="13"/>
  <c r="B41" i="13"/>
  <c r="B31" i="13"/>
  <c r="B18" i="13" s="1"/>
  <c r="D31" i="13"/>
  <c r="D18" i="13" s="1"/>
  <c r="C29" i="13"/>
  <c r="C31" i="13" s="1"/>
  <c r="E40" i="13"/>
  <c r="C37" i="13"/>
  <c r="C38" i="13"/>
  <c r="C39" i="13"/>
  <c r="E36" i="13"/>
  <c r="C36" i="13"/>
  <c r="E28" i="13"/>
  <c r="E27" i="13"/>
  <c r="E30" i="13"/>
  <c r="C3" i="13"/>
  <c r="C19" i="13"/>
  <c r="G21" i="13"/>
  <c r="G24" i="13" s="1"/>
  <c r="I21" i="13"/>
  <c r="I24" i="13" s="1"/>
  <c r="F24" i="13"/>
  <c r="H24" i="13"/>
  <c r="C20" i="13"/>
  <c r="C4" i="13"/>
  <c r="C5" i="13"/>
  <c r="C6" i="13"/>
  <c r="C7" i="13"/>
  <c r="C8" i="13"/>
  <c r="C9" i="13"/>
  <c r="D365" i="1"/>
  <c r="C3" i="10"/>
  <c r="D3" i="10"/>
  <c r="E3" i="10"/>
  <c r="F3" i="10"/>
  <c r="K4" i="10" a="1"/>
  <c r="K4" i="10" s="1"/>
  <c r="M4" i="10" a="1"/>
  <c r="M4" i="10" s="1"/>
  <c r="N4" i="10" a="1"/>
  <c r="N4" i="10" s="1"/>
  <c r="O4" i="10" a="1"/>
  <c r="O4" i="10" s="1"/>
  <c r="C5" i="10"/>
  <c r="C4" i="10" s="1"/>
  <c r="D5" i="10"/>
  <c r="D4" i="10" s="1"/>
  <c r="E5" i="10"/>
  <c r="E4" i="10" s="1"/>
  <c r="F5" i="10"/>
  <c r="F4" i="10" s="1"/>
  <c r="K5" i="10" a="1"/>
  <c r="K5" i="10" s="1"/>
  <c r="M5" i="10" a="1"/>
  <c r="M5" i="10" s="1"/>
  <c r="N5" i="10" a="1"/>
  <c r="N5" i="10" s="1"/>
  <c r="O5" i="10" a="1"/>
  <c r="O5" i="10" s="1"/>
  <c r="K6" i="10" a="1"/>
  <c r="K6" i="10" s="1"/>
  <c r="M6" i="10" a="1"/>
  <c r="M6" i="10" s="1"/>
  <c r="N6" i="10" a="1"/>
  <c r="N6" i="10" s="1"/>
  <c r="O6" i="10" a="1"/>
  <c r="O6" i="10" s="1"/>
  <c r="K7" i="10" a="1"/>
  <c r="K7" i="10" s="1"/>
  <c r="M7" i="10" a="1"/>
  <c r="M7" i="10" s="1"/>
  <c r="N7" i="10" a="1"/>
  <c r="N7" i="10" s="1"/>
  <c r="O7" i="10" a="1"/>
  <c r="O7" i="10" s="1"/>
  <c r="L8" i="10"/>
  <c r="C16" i="10"/>
  <c r="D16" i="10"/>
  <c r="E16" i="10"/>
  <c r="F16" i="10"/>
  <c r="K17" i="10" a="1"/>
  <c r="K17" i="10" s="1"/>
  <c r="M17" i="10" a="1"/>
  <c r="M17" i="10" s="1"/>
  <c r="N17" i="10" a="1"/>
  <c r="N17" i="10" s="1"/>
  <c r="O17" i="10" a="1"/>
  <c r="O17" i="10" s="1"/>
  <c r="C18" i="10"/>
  <c r="C17" i="10" s="1"/>
  <c r="D18" i="10"/>
  <c r="E18" i="10"/>
  <c r="E17" i="10" s="1"/>
  <c r="F18" i="10"/>
  <c r="F17" i="10" s="1"/>
  <c r="K18" i="10" a="1"/>
  <c r="K18" i="10" s="1"/>
  <c r="M18" i="10" a="1"/>
  <c r="M18" i="10" s="1"/>
  <c r="N18" i="10" a="1"/>
  <c r="N18" i="10" s="1"/>
  <c r="O18" i="10" a="1"/>
  <c r="O18" i="10" s="1"/>
  <c r="K19" i="10" a="1"/>
  <c r="K19" i="10" s="1"/>
  <c r="M19" i="10" a="1"/>
  <c r="M19" i="10" s="1"/>
  <c r="N19" i="10" a="1"/>
  <c r="N19" i="10" s="1"/>
  <c r="O19" i="10" a="1"/>
  <c r="O19" i="10" s="1"/>
  <c r="K20" i="10" a="1"/>
  <c r="K20" i="10" s="1"/>
  <c r="M20" i="10" a="1"/>
  <c r="M20" i="10" s="1"/>
  <c r="N20" i="10" a="1"/>
  <c r="N20" i="10" s="1"/>
  <c r="O20" i="10" a="1"/>
  <c r="O20" i="10" s="1"/>
  <c r="L21" i="10"/>
  <c r="M441" i="1"/>
  <c r="N441" i="1" s="1"/>
  <c r="L437" i="1"/>
  <c r="L438" i="1"/>
  <c r="L436" i="1"/>
  <c r="K437" i="1"/>
  <c r="K438" i="1"/>
  <c r="K439" i="1"/>
  <c r="K436" i="1"/>
  <c r="J437" i="1"/>
  <c r="J438" i="1"/>
  <c r="J439" i="1"/>
  <c r="J440" i="1"/>
  <c r="N440" i="1" s="1"/>
  <c r="J436" i="1"/>
  <c r="I435" i="1"/>
  <c r="I442" i="1" s="1"/>
  <c r="H435" i="1"/>
  <c r="H442" i="1" s="1"/>
  <c r="G435" i="1"/>
  <c r="G442" i="1" s="1"/>
  <c r="F435" i="1"/>
  <c r="F434" i="1"/>
  <c r="N434" i="1" s="1"/>
  <c r="E435" i="1"/>
  <c r="E442" i="1" s="1"/>
  <c r="D435" i="1"/>
  <c r="D442" i="1" s="1"/>
  <c r="C435" i="1"/>
  <c r="C442" i="1" s="1"/>
  <c r="B435" i="1"/>
  <c r="B442" i="1" s="1"/>
  <c r="M442" i="1"/>
  <c r="W23" i="1"/>
  <c r="W22" i="1"/>
  <c r="E13" i="1"/>
  <c r="F17" i="11"/>
  <c r="G17" i="11" s="1"/>
  <c r="D17" i="11"/>
  <c r="E17" i="11" s="1"/>
  <c r="E16" i="11"/>
  <c r="G14" i="11"/>
  <c r="AD87" i="1"/>
  <c r="AD86" i="1"/>
  <c r="AD85" i="1"/>
  <c r="AD84" i="1"/>
  <c r="AD81" i="1"/>
  <c r="W7" i="1"/>
  <c r="L30" i="10" s="1"/>
  <c r="W10" i="1" a="1"/>
  <c r="W10" i="1" s="1"/>
  <c r="L33" i="10" s="1"/>
  <c r="W9" i="1" a="1"/>
  <c r="W9" i="1" s="1"/>
  <c r="L32" i="10" s="1"/>
  <c r="W8" i="1" a="1"/>
  <c r="W8" i="1" s="1"/>
  <c r="L31" i="10" s="1"/>
  <c r="F17" i="2" l="1"/>
  <c r="D6" i="10"/>
  <c r="F6" i="10"/>
  <c r="E6" i="10"/>
  <c r="E19" i="10"/>
  <c r="G3" i="10"/>
  <c r="M26" i="14"/>
  <c r="D11" i="13"/>
  <c r="E31" i="13"/>
  <c r="C41" i="13"/>
  <c r="E41" i="13"/>
  <c r="E18" i="13"/>
  <c r="E21" i="13" s="1"/>
  <c r="D21" i="13"/>
  <c r="C18" i="13"/>
  <c r="C21" i="13" s="1"/>
  <c r="B21" i="13"/>
  <c r="R15" i="13" s="1"/>
  <c r="R16" i="13" s="1"/>
  <c r="Q10" i="13" s="1"/>
  <c r="Q12" i="13" s="1"/>
  <c r="C12" i="13"/>
  <c r="D20" i="10"/>
  <c r="G16" i="10"/>
  <c r="N8" i="10"/>
  <c r="P20" i="10"/>
  <c r="M8" i="10"/>
  <c r="P7" i="10"/>
  <c r="D7" i="10"/>
  <c r="C7" i="10"/>
  <c r="M21" i="10"/>
  <c r="P6" i="10"/>
  <c r="C19" i="10"/>
  <c r="G4" i="10"/>
  <c r="N21" i="10"/>
  <c r="P18" i="10"/>
  <c r="K21" i="10"/>
  <c r="P5" i="10"/>
  <c r="O21" i="10"/>
  <c r="O8" i="10"/>
  <c r="P19" i="10"/>
  <c r="P4" i="10"/>
  <c r="K8" i="10"/>
  <c r="P17" i="10"/>
  <c r="E20" i="10"/>
  <c r="G18" i="10"/>
  <c r="F7" i="10"/>
  <c r="C6" i="10"/>
  <c r="D17" i="10"/>
  <c r="D19" i="10" s="1"/>
  <c r="E7" i="10"/>
  <c r="C20" i="10"/>
  <c r="G5" i="10"/>
  <c r="L34" i="10"/>
  <c r="N439" i="1"/>
  <c r="N436" i="1"/>
  <c r="K442" i="1"/>
  <c r="L442" i="1"/>
  <c r="N438" i="1"/>
  <c r="N437" i="1"/>
  <c r="J442" i="1"/>
  <c r="N435" i="1"/>
  <c r="F442" i="1"/>
  <c r="G364" i="1"/>
  <c r="H3" i="10" l="1"/>
  <c r="D10" i="13"/>
  <c r="R27" i="13" s="1"/>
  <c r="E11" i="13"/>
  <c r="D12" i="13"/>
  <c r="P8" i="10"/>
  <c r="G17" i="10"/>
  <c r="H16" i="10" s="1"/>
  <c r="P21" i="10"/>
  <c r="N442" i="1"/>
  <c r="W11" i="1"/>
  <c r="R28" i="13" l="1"/>
  <c r="E10" i="13"/>
  <c r="E12" i="13" s="1"/>
  <c r="W19" i="1"/>
  <c r="S10" i="13" l="1"/>
  <c r="S12" i="13" s="1"/>
  <c r="R12" i="13"/>
  <c r="G13" i="11"/>
  <c r="F11" i="11"/>
  <c r="F18" i="11" s="1"/>
  <c r="G7" i="11"/>
  <c r="G8" i="11"/>
  <c r="G9" i="11"/>
  <c r="G10" i="11"/>
  <c r="G6" i="11"/>
  <c r="E15" i="11"/>
  <c r="E14" i="11"/>
  <c r="E13" i="11"/>
  <c r="E12" i="11"/>
  <c r="E10" i="1"/>
  <c r="D10" i="11"/>
  <c r="E10" i="11" s="1"/>
  <c r="D9" i="11"/>
  <c r="E9" i="11" s="1"/>
  <c r="D8" i="11"/>
  <c r="E8" i="11" s="1"/>
  <c r="D7" i="11"/>
  <c r="E7" i="11" s="1"/>
  <c r="D6" i="11"/>
  <c r="R364" i="1"/>
  <c r="W33" i="1"/>
  <c r="W32" i="1"/>
  <c r="W30" i="1"/>
  <c r="W31" i="1"/>
  <c r="D11" i="11" l="1"/>
  <c r="W34" i="1"/>
  <c r="G11" i="11"/>
  <c r="G18" i="11" s="1"/>
  <c r="E6" i="11"/>
  <c r="O364" i="1"/>
  <c r="W16" i="1"/>
  <c r="J406" i="1"/>
  <c r="J6" i="2"/>
  <c r="D429" i="1"/>
  <c r="E429" i="1"/>
  <c r="F429" i="1"/>
  <c r="G429" i="1"/>
  <c r="H429" i="1"/>
  <c r="I429" i="1"/>
  <c r="J429" i="1"/>
  <c r="K429" i="1"/>
  <c r="L429" i="1"/>
  <c r="M429" i="1"/>
  <c r="C429" i="1"/>
  <c r="B429" i="1"/>
  <c r="N423" i="1"/>
  <c r="N424" i="1"/>
  <c r="N425" i="1"/>
  <c r="N426" i="1"/>
  <c r="N427" i="1"/>
  <c r="N428" i="1"/>
  <c r="N422" i="1"/>
  <c r="N421" i="1"/>
  <c r="H10" i="2"/>
  <c r="I10" i="2"/>
  <c r="N12" i="2"/>
  <c r="M12" i="2"/>
  <c r="L12" i="2"/>
  <c r="K12" i="2"/>
  <c r="J12" i="2"/>
  <c r="I409" i="1" s="1"/>
  <c r="I12" i="2"/>
  <c r="H12" i="2"/>
  <c r="G12" i="2"/>
  <c r="E12" i="2"/>
  <c r="C12" i="2"/>
  <c r="B12" i="2"/>
  <c r="N7" i="2"/>
  <c r="M7" i="2"/>
  <c r="L7" i="2"/>
  <c r="K7" i="2"/>
  <c r="J7" i="2"/>
  <c r="I7" i="2"/>
  <c r="H7" i="2"/>
  <c r="G7" i="2"/>
  <c r="E7" i="2"/>
  <c r="C7" i="2"/>
  <c r="B7" i="2"/>
  <c r="N9" i="2"/>
  <c r="M9" i="2"/>
  <c r="L9" i="2"/>
  <c r="K9" i="2"/>
  <c r="J9" i="2"/>
  <c r="I9" i="2"/>
  <c r="H9" i="2"/>
  <c r="G9" i="2"/>
  <c r="E9" i="2"/>
  <c r="C9" i="2"/>
  <c r="B9" i="2"/>
  <c r="N8" i="2"/>
  <c r="M8" i="2"/>
  <c r="L8" i="2"/>
  <c r="K8" i="2"/>
  <c r="J8" i="2"/>
  <c r="I404" i="1" s="1"/>
  <c r="I8" i="2"/>
  <c r="H8" i="2"/>
  <c r="G8" i="2"/>
  <c r="E8" i="2"/>
  <c r="C8" i="2"/>
  <c r="B8" i="2"/>
  <c r="G6" i="2"/>
  <c r="N6" i="2"/>
  <c r="M6" i="2"/>
  <c r="L6" i="2"/>
  <c r="K6" i="2"/>
  <c r="I6" i="2"/>
  <c r="H6" i="2"/>
  <c r="E6" i="2"/>
  <c r="C6" i="2"/>
  <c r="B6" i="2"/>
  <c r="B14" i="2"/>
  <c r="H364" i="1"/>
  <c r="D366" i="1"/>
  <c r="E283" i="1"/>
  <c r="E391" i="1"/>
  <c r="E390" i="1"/>
  <c r="E411" i="1"/>
  <c r="E395" i="1"/>
  <c r="E393" i="1"/>
  <c r="E394" i="1"/>
  <c r="E392" i="1"/>
  <c r="D396" i="1"/>
  <c r="E389" i="1"/>
  <c r="E388" i="1"/>
  <c r="B16" i="2"/>
  <c r="C15" i="2"/>
  <c r="D15" i="2" s="1"/>
  <c r="B15" i="2"/>
  <c r="F364" i="1"/>
  <c r="E243" i="1"/>
  <c r="J409" i="1"/>
  <c r="I406" i="1"/>
  <c r="B11" i="2"/>
  <c r="D411" i="1"/>
  <c r="D413" i="1" s="1"/>
  <c r="F411" i="1"/>
  <c r="N14" i="2"/>
  <c r="M14" i="2"/>
  <c r="L14" i="2"/>
  <c r="K14" i="2"/>
  <c r="J14" i="2"/>
  <c r="I405" i="1" s="1"/>
  <c r="I14" i="2"/>
  <c r="H14" i="2"/>
  <c r="G14" i="2"/>
  <c r="E14" i="2"/>
  <c r="C14" i="2"/>
  <c r="N13" i="2"/>
  <c r="M13" i="2"/>
  <c r="L13" i="2"/>
  <c r="K13" i="2"/>
  <c r="J13" i="2"/>
  <c r="I410" i="1" s="1"/>
  <c r="I13" i="2"/>
  <c r="H13" i="2"/>
  <c r="G13" i="2"/>
  <c r="E13" i="2"/>
  <c r="C13" i="2"/>
  <c r="N11" i="2"/>
  <c r="M11" i="2"/>
  <c r="L11" i="2"/>
  <c r="K11" i="2"/>
  <c r="J11" i="2"/>
  <c r="I11" i="2"/>
  <c r="H11" i="2"/>
  <c r="G11" i="2"/>
  <c r="E11" i="2"/>
  <c r="C11" i="2"/>
  <c r="N10" i="2"/>
  <c r="M10" i="2"/>
  <c r="L10" i="2"/>
  <c r="K10" i="2"/>
  <c r="J10" i="2"/>
  <c r="I408" i="1" s="1"/>
  <c r="G10" i="2"/>
  <c r="E10" i="2"/>
  <c r="C10" i="2"/>
  <c r="B10" i="2"/>
  <c r="B13" i="2"/>
  <c r="D18" i="11" l="1"/>
  <c r="C16" i="2"/>
  <c r="D16" i="2" s="1"/>
  <c r="B19" i="2" s="1"/>
  <c r="E11" i="11"/>
  <c r="E18" i="11" s="1"/>
  <c r="I403" i="1"/>
  <c r="N429" i="1"/>
  <c r="S427" i="1" s="1"/>
  <c r="E396" i="1"/>
  <c r="F413" i="1"/>
  <c r="K406" i="1"/>
  <c r="M406" i="1" s="1"/>
  <c r="I407" i="1"/>
  <c r="J410" i="1"/>
  <c r="K410" i="1" s="1"/>
  <c r="J407" i="1" a="1"/>
  <c r="J407" i="1" s="1"/>
  <c r="J408" i="1"/>
  <c r="K408" i="1" s="1"/>
  <c r="J405" i="1"/>
  <c r="K405" i="1" s="1"/>
  <c r="J404" i="1"/>
  <c r="K404" i="1" s="1"/>
  <c r="M404" i="1" s="1"/>
  <c r="K409" i="1"/>
  <c r="M409" i="1" s="1"/>
  <c r="L372" i="1"/>
  <c r="M372" i="1" s="1"/>
  <c r="L373" i="1"/>
  <c r="M373" i="1" s="1"/>
  <c r="L374" i="1"/>
  <c r="M374" i="1" s="1"/>
  <c r="L375" i="1"/>
  <c r="M375" i="1" s="1"/>
  <c r="L376" i="1"/>
  <c r="M376" i="1" s="1"/>
  <c r="L377" i="1"/>
  <c r="M377" i="1" s="1"/>
  <c r="L378" i="1"/>
  <c r="M378" i="1" s="1"/>
  <c r="L371" i="1"/>
  <c r="M371" i="1" s="1"/>
  <c r="Q379" i="1"/>
  <c r="O379" i="1"/>
  <c r="K379" i="1"/>
  <c r="I379" i="1"/>
  <c r="F379" i="1"/>
  <c r="E379" i="1"/>
  <c r="D379" i="1"/>
  <c r="T427" i="1" l="1"/>
  <c r="S428" i="1"/>
  <c r="T428" i="1" s="1"/>
  <c r="I411" i="1"/>
  <c r="L406" i="1"/>
  <c r="P380" i="1"/>
  <c r="P381" i="1" s="1"/>
  <c r="K407" i="1"/>
  <c r="L407" i="1" s="1"/>
  <c r="L408" i="1"/>
  <c r="M408" i="1"/>
  <c r="L405" i="1"/>
  <c r="M405" i="1"/>
  <c r="L410" i="1"/>
  <c r="M410" i="1"/>
  <c r="L409" i="1"/>
  <c r="L404" i="1"/>
  <c r="M379" i="1"/>
  <c r="L379" i="1"/>
  <c r="V10" i="1" a="1"/>
  <c r="V10" i="1" s="1"/>
  <c r="X10" i="1" a="1"/>
  <c r="X10" i="1" s="1"/>
  <c r="M33" i="10" s="1"/>
  <c r="Y10" i="1" a="1"/>
  <c r="Y10" i="1" s="1"/>
  <c r="N33" i="10" s="1"/>
  <c r="Z10" i="1" a="1"/>
  <c r="Z10" i="1" s="1"/>
  <c r="O33" i="10" s="1"/>
  <c r="Z9" i="1" a="1"/>
  <c r="Z9" i="1" s="1"/>
  <c r="O32" i="10" s="1"/>
  <c r="Y9" i="1" a="1"/>
  <c r="Y9" i="1" s="1"/>
  <c r="N32" i="10" s="1"/>
  <c r="X9" i="1" a="1"/>
  <c r="X9" i="1" s="1"/>
  <c r="M32" i="10" s="1"/>
  <c r="V9" i="1" a="1"/>
  <c r="V9" i="1" s="1"/>
  <c r="Z8" i="1" a="1"/>
  <c r="Z8" i="1" s="1"/>
  <c r="O31" i="10" s="1"/>
  <c r="Y8" i="1" a="1"/>
  <c r="Y8" i="1" s="1"/>
  <c r="N31" i="10" s="1"/>
  <c r="X8" i="1" a="1"/>
  <c r="X8" i="1" s="1"/>
  <c r="M31" i="10" s="1"/>
  <c r="V8" i="1" a="1"/>
  <c r="V8" i="1" s="1"/>
  <c r="Z7" i="1" a="1"/>
  <c r="Z7" i="1" s="1"/>
  <c r="O30" i="10" s="1"/>
  <c r="Y7" i="1" a="1"/>
  <c r="Y7" i="1" s="1"/>
  <c r="N30" i="10" s="1"/>
  <c r="X7" i="1" a="1"/>
  <c r="X7" i="1" s="1"/>
  <c r="M30" i="10" s="1"/>
  <c r="V7" i="1" a="1"/>
  <c r="V7" i="1" s="1"/>
  <c r="K30" i="10" s="1"/>
  <c r="E353" i="1"/>
  <c r="E352" i="1"/>
  <c r="E351" i="1"/>
  <c r="E350" i="1"/>
  <c r="E349" i="1"/>
  <c r="E348" i="1"/>
  <c r="E346" i="1"/>
  <c r="E344" i="1"/>
  <c r="E342" i="1"/>
  <c r="E341" i="1"/>
  <c r="E340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2" i="1"/>
  <c r="E334" i="1"/>
  <c r="E336" i="1"/>
  <c r="E337" i="1"/>
  <c r="E338" i="1"/>
  <c r="E339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5" i="1"/>
  <c r="E206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58" i="1"/>
  <c r="E156" i="1"/>
  <c r="E155" i="1"/>
  <c r="E154" i="1"/>
  <c r="E172" i="1"/>
  <c r="E171" i="1"/>
  <c r="E170" i="1"/>
  <c r="E169" i="1"/>
  <c r="E168" i="1"/>
  <c r="E167" i="1"/>
  <c r="E166" i="1"/>
  <c r="E164" i="1"/>
  <c r="E163" i="1"/>
  <c r="E162" i="1"/>
  <c r="E160" i="1"/>
  <c r="E153" i="1"/>
  <c r="E152" i="1"/>
  <c r="E151" i="1"/>
  <c r="E150" i="1"/>
  <c r="E149" i="1"/>
  <c r="E148" i="1"/>
  <c r="E147" i="1"/>
  <c r="E145" i="1"/>
  <c r="E144" i="1"/>
  <c r="E143" i="1"/>
  <c r="E141" i="1"/>
  <c r="E140" i="1"/>
  <c r="E139" i="1"/>
  <c r="E138" i="1"/>
  <c r="E136" i="1"/>
  <c r="E135" i="1"/>
  <c r="E134" i="1"/>
  <c r="E133" i="1"/>
  <c r="E132" i="1"/>
  <c r="E131" i="1"/>
  <c r="E130" i="1"/>
  <c r="E129" i="1"/>
  <c r="E127" i="1"/>
  <c r="E126" i="1"/>
  <c r="E125" i="1"/>
  <c r="E123" i="1"/>
  <c r="E122" i="1"/>
  <c r="E121" i="1"/>
  <c r="E119" i="1"/>
  <c r="E117" i="1"/>
  <c r="E114" i="1"/>
  <c r="E112" i="1"/>
  <c r="E111" i="1"/>
  <c r="E109" i="1"/>
  <c r="E108" i="1"/>
  <c r="E107" i="1"/>
  <c r="E106" i="1"/>
  <c r="E105" i="1"/>
  <c r="E104" i="1"/>
  <c r="E102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1" i="1"/>
  <c r="E79" i="1"/>
  <c r="E77" i="1"/>
  <c r="E76" i="1"/>
  <c r="E75" i="1"/>
  <c r="E74" i="1"/>
  <c r="E73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4" i="1"/>
  <c r="E55" i="1"/>
  <c r="E53" i="1"/>
  <c r="E52" i="1"/>
  <c r="E51" i="1"/>
  <c r="E50" i="1"/>
  <c r="E49" i="1"/>
  <c r="E48" i="1"/>
  <c r="E47" i="1"/>
  <c r="E46" i="1"/>
  <c r="E44" i="1"/>
  <c r="E43" i="1"/>
  <c r="E42" i="1"/>
  <c r="E41" i="1"/>
  <c r="E40" i="1"/>
  <c r="E39" i="1"/>
  <c r="E38" i="1"/>
  <c r="E37" i="1"/>
  <c r="E36" i="1"/>
  <c r="E35" i="1"/>
  <c r="E34" i="1"/>
  <c r="E33" i="1"/>
  <c r="Q410" i="1" l="1"/>
  <c r="S410" i="1" s="1"/>
  <c r="K33" i="10"/>
  <c r="P33" i="10" s="1"/>
  <c r="P30" i="10"/>
  <c r="O34" i="10"/>
  <c r="M34" i="10"/>
  <c r="N34" i="10"/>
  <c r="Q408" i="1"/>
  <c r="S408" i="1" s="1"/>
  <c r="K31" i="10"/>
  <c r="P31" i="10" s="1"/>
  <c r="Q409" i="1"/>
  <c r="S409" i="1" s="1"/>
  <c r="K32" i="10"/>
  <c r="P32" i="10" s="1"/>
  <c r="Q404" i="1"/>
  <c r="S404" i="1" s="1"/>
  <c r="Q405" i="1"/>
  <c r="S405" i="1" s="1"/>
  <c r="Q407" i="1"/>
  <c r="S407" i="1" s="1"/>
  <c r="AA7" i="1"/>
  <c r="Q403" i="1"/>
  <c r="M407" i="1"/>
  <c r="E32" i="1"/>
  <c r="E30" i="1"/>
  <c r="E29" i="1"/>
  <c r="E28" i="1"/>
  <c r="E27" i="1"/>
  <c r="E26" i="1"/>
  <c r="E25" i="1"/>
  <c r="K34" i="10" l="1"/>
  <c r="P34" i="10" s="1"/>
  <c r="Q406" i="1" a="1"/>
  <c r="Q406" i="1" s="1"/>
  <c r="S406" i="1" s="1"/>
  <c r="S403" i="1"/>
  <c r="S411" i="1" l="1"/>
  <c r="S412" i="1"/>
  <c r="F29" i="10"/>
  <c r="E29" i="10"/>
  <c r="C31" i="10"/>
  <c r="C30" i="10" s="1"/>
  <c r="C29" i="10"/>
  <c r="D29" i="10"/>
  <c r="D31" i="10"/>
  <c r="E31" i="10"/>
  <c r="F31" i="10"/>
  <c r="E33" i="10" l="1"/>
  <c r="G29" i="10"/>
  <c r="C32" i="10"/>
  <c r="C33" i="10"/>
  <c r="D33" i="10"/>
  <c r="D30" i="10"/>
  <c r="D32" i="10" s="1"/>
  <c r="E30" i="10"/>
  <c r="E32" i="10" s="1"/>
  <c r="F33" i="10"/>
  <c r="F30" i="10"/>
  <c r="F32" i="10" s="1"/>
  <c r="G31" i="10"/>
  <c r="G30" i="10" l="1"/>
  <c r="H29" i="10" s="1"/>
  <c r="W24" i="1" l="1"/>
  <c r="W18" i="1"/>
  <c r="W20" i="1"/>
  <c r="S10" i="3"/>
  <c r="R10" i="3"/>
  <c r="Q10" i="3"/>
  <c r="T9" i="3"/>
  <c r="T8" i="3"/>
  <c r="T7" i="3"/>
  <c r="S10" i="4"/>
  <c r="R10" i="4"/>
  <c r="Q10" i="4"/>
  <c r="T9" i="4"/>
  <c r="T8" i="4"/>
  <c r="T7" i="4"/>
  <c r="S10" i="5"/>
  <c r="R10" i="5"/>
  <c r="Q10" i="5"/>
  <c r="T9" i="5"/>
  <c r="T8" i="5"/>
  <c r="T7" i="5"/>
  <c r="R70" i="6"/>
  <c r="S70" i="6"/>
  <c r="R71" i="6"/>
  <c r="S71" i="6"/>
  <c r="Q70" i="6"/>
  <c r="Q71" i="6"/>
  <c r="R69" i="6"/>
  <c r="S69" i="6"/>
  <c r="Q69" i="6"/>
  <c r="S10" i="6"/>
  <c r="R10" i="6"/>
  <c r="Q10" i="6"/>
  <c r="T9" i="6"/>
  <c r="T8" i="6"/>
  <c r="T7" i="6"/>
  <c r="S45" i="6"/>
  <c r="R45" i="6"/>
  <c r="Q45" i="6"/>
  <c r="T44" i="6"/>
  <c r="T43" i="6"/>
  <c r="T42" i="6"/>
  <c r="C85" i="7"/>
  <c r="D85" i="7" s="1"/>
  <c r="Q93" i="7"/>
  <c r="R93" i="7"/>
  <c r="S93" i="7"/>
  <c r="Q94" i="7"/>
  <c r="R94" i="7"/>
  <c r="S94" i="7"/>
  <c r="R92" i="7"/>
  <c r="S92" i="7"/>
  <c r="Q92" i="7"/>
  <c r="S10" i="7"/>
  <c r="R10" i="7"/>
  <c r="Q10" i="7"/>
  <c r="T9" i="7"/>
  <c r="T8" i="7"/>
  <c r="T7" i="7"/>
  <c r="S20" i="7"/>
  <c r="R20" i="7"/>
  <c r="Q20" i="7"/>
  <c r="T19" i="7"/>
  <c r="T18" i="7"/>
  <c r="T17" i="7"/>
  <c r="S57" i="7"/>
  <c r="R57" i="7"/>
  <c r="Q57" i="7"/>
  <c r="T56" i="7"/>
  <c r="T55" i="7"/>
  <c r="T54" i="7"/>
  <c r="T65" i="7"/>
  <c r="T66" i="7"/>
  <c r="T64" i="7"/>
  <c r="R67" i="7"/>
  <c r="S67" i="7"/>
  <c r="Q67" i="7"/>
  <c r="M87" i="7"/>
  <c r="N87" i="7"/>
  <c r="I87" i="7"/>
  <c r="E87" i="7"/>
  <c r="N61" i="7"/>
  <c r="F61" i="7"/>
  <c r="H61" i="7"/>
  <c r="I61" i="7"/>
  <c r="J61" i="7"/>
  <c r="L61" i="7"/>
  <c r="M61" i="7"/>
  <c r="E61" i="7"/>
  <c r="N86" i="7"/>
  <c r="I86" i="7"/>
  <c r="M86" i="7"/>
  <c r="E86" i="7"/>
  <c r="C63" i="7"/>
  <c r="F63" i="7"/>
  <c r="F86" i="7" s="1"/>
  <c r="L63" i="7"/>
  <c r="L86" i="7" s="1"/>
  <c r="C64" i="7"/>
  <c r="G64" i="7"/>
  <c r="K64" i="7"/>
  <c r="C65" i="7"/>
  <c r="G65" i="7"/>
  <c r="K65" i="7"/>
  <c r="C66" i="7"/>
  <c r="G66" i="7"/>
  <c r="K66" i="7"/>
  <c r="C67" i="7"/>
  <c r="H67" i="7"/>
  <c r="J67" i="7"/>
  <c r="C68" i="7"/>
  <c r="H68" i="7"/>
  <c r="J68" i="7"/>
  <c r="C69" i="7"/>
  <c r="H69" i="7"/>
  <c r="J69" i="7"/>
  <c r="C70" i="7"/>
  <c r="H70" i="7"/>
  <c r="J70" i="7"/>
  <c r="C71" i="7"/>
  <c r="H71" i="7"/>
  <c r="J71" i="7"/>
  <c r="C72" i="7"/>
  <c r="H72" i="7"/>
  <c r="J72" i="7"/>
  <c r="C73" i="7"/>
  <c r="H73" i="7"/>
  <c r="J73" i="7"/>
  <c r="C74" i="7"/>
  <c r="H74" i="7"/>
  <c r="J74" i="7"/>
  <c r="C75" i="7"/>
  <c r="H75" i="7"/>
  <c r="J75" i="7"/>
  <c r="C76" i="7"/>
  <c r="G76" i="7"/>
  <c r="K76" i="7"/>
  <c r="C77" i="7"/>
  <c r="G77" i="7"/>
  <c r="K77" i="7"/>
  <c r="C78" i="7"/>
  <c r="G78" i="7"/>
  <c r="K78" i="7"/>
  <c r="C79" i="7"/>
  <c r="G79" i="7"/>
  <c r="K79" i="7"/>
  <c r="C80" i="7"/>
  <c r="G80" i="7"/>
  <c r="K80" i="7"/>
  <c r="C81" i="7"/>
  <c r="G81" i="7"/>
  <c r="K81" i="7"/>
  <c r="C82" i="7"/>
  <c r="G82" i="7"/>
  <c r="K82" i="7"/>
  <c r="C83" i="7"/>
  <c r="G83" i="7"/>
  <c r="K83" i="7"/>
  <c r="C84" i="7"/>
  <c r="H84" i="7"/>
  <c r="J84" i="7"/>
  <c r="H85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63" i="7"/>
  <c r="C53" i="7"/>
  <c r="G53" i="7"/>
  <c r="K53" i="7"/>
  <c r="C54" i="7"/>
  <c r="G54" i="7"/>
  <c r="K54" i="7"/>
  <c r="C55" i="7"/>
  <c r="G55" i="7"/>
  <c r="K55" i="7"/>
  <c r="C56" i="7"/>
  <c r="G56" i="7"/>
  <c r="K56" i="7"/>
  <c r="C57" i="7"/>
  <c r="G57" i="7"/>
  <c r="K57" i="7"/>
  <c r="C58" i="7"/>
  <c r="G58" i="7"/>
  <c r="K58" i="7"/>
  <c r="C59" i="7"/>
  <c r="G59" i="7"/>
  <c r="K59" i="7"/>
  <c r="C60" i="7"/>
  <c r="G60" i="7"/>
  <c r="K60" i="7"/>
  <c r="B54" i="7"/>
  <c r="B55" i="7"/>
  <c r="B56" i="7"/>
  <c r="B57" i="7"/>
  <c r="B58" i="7"/>
  <c r="B59" i="7"/>
  <c r="B60" i="7"/>
  <c r="B53" i="7"/>
  <c r="I51" i="7"/>
  <c r="L51" i="7"/>
  <c r="M51" i="7"/>
  <c r="N51" i="7"/>
  <c r="E51" i="7"/>
  <c r="C16" i="7"/>
  <c r="H16" i="7"/>
  <c r="J16" i="7"/>
  <c r="C17" i="7"/>
  <c r="H17" i="7"/>
  <c r="J17" i="7"/>
  <c r="C18" i="7"/>
  <c r="H18" i="7"/>
  <c r="J18" i="7"/>
  <c r="C19" i="7"/>
  <c r="H19" i="7"/>
  <c r="J19" i="7"/>
  <c r="C20" i="7"/>
  <c r="H20" i="7"/>
  <c r="J20" i="7"/>
  <c r="C21" i="7"/>
  <c r="H21" i="7"/>
  <c r="J21" i="7"/>
  <c r="C22" i="7"/>
  <c r="H22" i="7"/>
  <c r="J22" i="7"/>
  <c r="C23" i="7"/>
  <c r="H23" i="7"/>
  <c r="J23" i="7"/>
  <c r="C24" i="7"/>
  <c r="H24" i="7"/>
  <c r="J24" i="7"/>
  <c r="C25" i="7"/>
  <c r="H25" i="7"/>
  <c r="J25" i="7"/>
  <c r="C26" i="7"/>
  <c r="D26" i="7"/>
  <c r="G26" i="7"/>
  <c r="K26" i="7"/>
  <c r="C27" i="7"/>
  <c r="G27" i="7"/>
  <c r="K27" i="7"/>
  <c r="C28" i="7"/>
  <c r="G28" i="7"/>
  <c r="K28" i="7"/>
  <c r="C29" i="7"/>
  <c r="G29" i="7"/>
  <c r="K29" i="7"/>
  <c r="C30" i="7"/>
  <c r="G30" i="7"/>
  <c r="K30" i="7"/>
  <c r="C31" i="7"/>
  <c r="G31" i="7"/>
  <c r="K31" i="7"/>
  <c r="C32" i="7"/>
  <c r="G32" i="7"/>
  <c r="K32" i="7"/>
  <c r="C33" i="7"/>
  <c r="G33" i="7"/>
  <c r="K33" i="7"/>
  <c r="C34" i="7"/>
  <c r="G34" i="7"/>
  <c r="K34" i="7"/>
  <c r="C35" i="7"/>
  <c r="G35" i="7"/>
  <c r="K35" i="7"/>
  <c r="C36" i="7"/>
  <c r="G36" i="7"/>
  <c r="K36" i="7"/>
  <c r="C37" i="7"/>
  <c r="H37" i="7"/>
  <c r="J37" i="7"/>
  <c r="C38" i="7"/>
  <c r="H38" i="7"/>
  <c r="J38" i="7"/>
  <c r="C39" i="7"/>
  <c r="G39" i="7"/>
  <c r="K39" i="7"/>
  <c r="C40" i="7"/>
  <c r="G40" i="7"/>
  <c r="K40" i="7"/>
  <c r="C41" i="7"/>
  <c r="G41" i="7"/>
  <c r="K41" i="7"/>
  <c r="C42" i="7"/>
  <c r="G42" i="7"/>
  <c r="K42" i="7"/>
  <c r="C43" i="7"/>
  <c r="G43" i="7"/>
  <c r="K43" i="7"/>
  <c r="C44" i="7"/>
  <c r="G44" i="7"/>
  <c r="K44" i="7"/>
  <c r="C45" i="7"/>
  <c r="G45" i="7"/>
  <c r="K45" i="7"/>
  <c r="C46" i="7"/>
  <c r="G46" i="7"/>
  <c r="K46" i="7"/>
  <c r="C47" i="7"/>
  <c r="G47" i="7"/>
  <c r="K47" i="7"/>
  <c r="C48" i="7"/>
  <c r="G48" i="7"/>
  <c r="K48" i="7"/>
  <c r="C49" i="7"/>
  <c r="F49" i="7"/>
  <c r="K49" i="7"/>
  <c r="C50" i="7"/>
  <c r="F50" i="7"/>
  <c r="K50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16" i="7"/>
  <c r="F14" i="7"/>
  <c r="G14" i="7"/>
  <c r="I14" i="7"/>
  <c r="L14" i="7"/>
  <c r="M14" i="7"/>
  <c r="N14" i="7"/>
  <c r="E14" i="7"/>
  <c r="C6" i="7"/>
  <c r="H6" i="7"/>
  <c r="J6" i="7"/>
  <c r="C7" i="7"/>
  <c r="H7" i="7"/>
  <c r="J7" i="7"/>
  <c r="C8" i="7"/>
  <c r="H8" i="7"/>
  <c r="K8" i="7"/>
  <c r="C9" i="7"/>
  <c r="H9" i="7"/>
  <c r="J9" i="7"/>
  <c r="C10" i="7"/>
  <c r="H10" i="7"/>
  <c r="K10" i="7"/>
  <c r="C11" i="7"/>
  <c r="H11" i="7"/>
  <c r="J11" i="7"/>
  <c r="C12" i="7"/>
  <c r="H12" i="7"/>
  <c r="K12" i="7"/>
  <c r="C13" i="7"/>
  <c r="H13" i="7"/>
  <c r="J13" i="7"/>
  <c r="B7" i="7"/>
  <c r="B8" i="7"/>
  <c r="B9" i="7"/>
  <c r="B10" i="7"/>
  <c r="B11" i="7"/>
  <c r="B12" i="7"/>
  <c r="B13" i="7"/>
  <c r="B6" i="7"/>
  <c r="N63" i="6"/>
  <c r="M63" i="6"/>
  <c r="I63" i="6"/>
  <c r="F63" i="6"/>
  <c r="E63" i="6"/>
  <c r="I39" i="6"/>
  <c r="L39" i="6"/>
  <c r="M39" i="6"/>
  <c r="N39" i="6"/>
  <c r="F39" i="6"/>
  <c r="E39" i="6"/>
  <c r="B6" i="6"/>
  <c r="C6" i="6"/>
  <c r="H6" i="6"/>
  <c r="J6" i="6"/>
  <c r="B7" i="6"/>
  <c r="C7" i="6"/>
  <c r="H7" i="6"/>
  <c r="J7" i="6"/>
  <c r="B8" i="6"/>
  <c r="C8" i="6"/>
  <c r="H8" i="6"/>
  <c r="J8" i="6"/>
  <c r="B9" i="6"/>
  <c r="C9" i="6"/>
  <c r="H9" i="6"/>
  <c r="J9" i="6"/>
  <c r="B10" i="6"/>
  <c r="C10" i="6"/>
  <c r="H10" i="6"/>
  <c r="J10" i="6"/>
  <c r="B11" i="6"/>
  <c r="C11" i="6"/>
  <c r="H11" i="6"/>
  <c r="J11" i="6"/>
  <c r="B12" i="6"/>
  <c r="C12" i="6"/>
  <c r="H12" i="6"/>
  <c r="J12" i="6"/>
  <c r="B13" i="6"/>
  <c r="C13" i="6"/>
  <c r="H13" i="6"/>
  <c r="J13" i="6"/>
  <c r="B14" i="6"/>
  <c r="C14" i="6"/>
  <c r="H14" i="6"/>
  <c r="J14" i="6"/>
  <c r="B15" i="6"/>
  <c r="C15" i="6"/>
  <c r="H15" i="6"/>
  <c r="J15" i="6"/>
  <c r="B16" i="6"/>
  <c r="C16" i="6"/>
  <c r="D16" i="6"/>
  <c r="G16" i="6"/>
  <c r="K16" i="6"/>
  <c r="B17" i="6"/>
  <c r="C17" i="6"/>
  <c r="G17" i="6"/>
  <c r="K17" i="6"/>
  <c r="B18" i="6"/>
  <c r="C18" i="6"/>
  <c r="G18" i="6"/>
  <c r="K18" i="6"/>
  <c r="B19" i="6"/>
  <c r="C19" i="6"/>
  <c r="G19" i="6"/>
  <c r="K19" i="6"/>
  <c r="B20" i="6"/>
  <c r="C20" i="6"/>
  <c r="G20" i="6"/>
  <c r="K20" i="6"/>
  <c r="B21" i="6"/>
  <c r="C21" i="6"/>
  <c r="G21" i="6"/>
  <c r="K21" i="6"/>
  <c r="B22" i="6"/>
  <c r="C22" i="6"/>
  <c r="G22" i="6"/>
  <c r="K22" i="6"/>
  <c r="B23" i="6"/>
  <c r="C23" i="6"/>
  <c r="G23" i="6"/>
  <c r="K23" i="6"/>
  <c r="B24" i="6"/>
  <c r="C24" i="6"/>
  <c r="G24" i="6"/>
  <c r="K24" i="6"/>
  <c r="B25" i="6"/>
  <c r="C25" i="6"/>
  <c r="G25" i="6"/>
  <c r="K25" i="6"/>
  <c r="B26" i="6"/>
  <c r="C26" i="6"/>
  <c r="G26" i="6"/>
  <c r="K26" i="6"/>
  <c r="B27" i="6"/>
  <c r="C27" i="6"/>
  <c r="H27" i="6"/>
  <c r="J27" i="6"/>
  <c r="B28" i="6"/>
  <c r="C28" i="6"/>
  <c r="H28" i="6"/>
  <c r="J28" i="6"/>
  <c r="B29" i="6"/>
  <c r="C29" i="6"/>
  <c r="G29" i="6"/>
  <c r="K29" i="6"/>
  <c r="B30" i="6"/>
  <c r="C30" i="6"/>
  <c r="G30" i="6"/>
  <c r="K30" i="6"/>
  <c r="B31" i="6"/>
  <c r="C31" i="6"/>
  <c r="G31" i="6"/>
  <c r="K31" i="6"/>
  <c r="B32" i="6"/>
  <c r="C32" i="6"/>
  <c r="G32" i="6"/>
  <c r="K32" i="6"/>
  <c r="B33" i="6"/>
  <c r="C33" i="6"/>
  <c r="G33" i="6"/>
  <c r="K33" i="6"/>
  <c r="B34" i="6"/>
  <c r="C34" i="6"/>
  <c r="G34" i="6"/>
  <c r="K34" i="6"/>
  <c r="B35" i="6"/>
  <c r="C35" i="6"/>
  <c r="G35" i="6"/>
  <c r="K35" i="6"/>
  <c r="B36" i="6"/>
  <c r="C36" i="6"/>
  <c r="G36" i="6"/>
  <c r="K36" i="6"/>
  <c r="B37" i="6"/>
  <c r="C37" i="6"/>
  <c r="G37" i="6"/>
  <c r="K37" i="6"/>
  <c r="E64" i="6"/>
  <c r="F64" i="6"/>
  <c r="I64" i="6"/>
  <c r="M64" i="6"/>
  <c r="N64" i="6"/>
  <c r="C41" i="6"/>
  <c r="G41" i="6"/>
  <c r="K41" i="6"/>
  <c r="C42" i="6"/>
  <c r="G42" i="6"/>
  <c r="K42" i="6"/>
  <c r="C43" i="6"/>
  <c r="G43" i="6"/>
  <c r="K43" i="6"/>
  <c r="C44" i="6"/>
  <c r="H44" i="6"/>
  <c r="J44" i="6"/>
  <c r="C45" i="6"/>
  <c r="H45" i="6"/>
  <c r="J45" i="6"/>
  <c r="C46" i="6"/>
  <c r="H46" i="6"/>
  <c r="J46" i="6"/>
  <c r="C47" i="6"/>
  <c r="H47" i="6"/>
  <c r="J47" i="6"/>
  <c r="C48" i="6"/>
  <c r="H48" i="6"/>
  <c r="J48" i="6"/>
  <c r="C49" i="6"/>
  <c r="H49" i="6"/>
  <c r="J49" i="6"/>
  <c r="C50" i="6"/>
  <c r="H50" i="6"/>
  <c r="J50" i="6"/>
  <c r="C51" i="6"/>
  <c r="H51" i="6"/>
  <c r="J51" i="6"/>
  <c r="C52" i="6"/>
  <c r="H52" i="6"/>
  <c r="J52" i="6"/>
  <c r="C53" i="6"/>
  <c r="G53" i="6"/>
  <c r="K53" i="6"/>
  <c r="C54" i="6"/>
  <c r="G54" i="6"/>
  <c r="K54" i="6"/>
  <c r="C55" i="6"/>
  <c r="G55" i="6"/>
  <c r="K55" i="6"/>
  <c r="C56" i="6"/>
  <c r="G56" i="6"/>
  <c r="K56" i="6"/>
  <c r="C57" i="6"/>
  <c r="G57" i="6"/>
  <c r="K57" i="6"/>
  <c r="C58" i="6"/>
  <c r="G58" i="6"/>
  <c r="K58" i="6"/>
  <c r="C59" i="6"/>
  <c r="G59" i="6"/>
  <c r="K59" i="6"/>
  <c r="C60" i="6"/>
  <c r="G60" i="6"/>
  <c r="K60" i="6"/>
  <c r="C61" i="6"/>
  <c r="H61" i="6"/>
  <c r="J61" i="6"/>
  <c r="C62" i="6"/>
  <c r="H62" i="6"/>
  <c r="L62" i="6"/>
  <c r="L64" i="6" s="1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41" i="6"/>
  <c r="C38" i="6"/>
  <c r="G38" i="6"/>
  <c r="K38" i="6"/>
  <c r="B38" i="6"/>
  <c r="N41" i="5"/>
  <c r="M41" i="5"/>
  <c r="L41" i="5"/>
  <c r="E41" i="5"/>
  <c r="D14" i="2"/>
  <c r="C7" i="5"/>
  <c r="H7" i="5"/>
  <c r="J7" i="5"/>
  <c r="C8" i="5"/>
  <c r="H8" i="5"/>
  <c r="J8" i="5"/>
  <c r="C9" i="5"/>
  <c r="H9" i="5"/>
  <c r="J9" i="5"/>
  <c r="C10" i="5"/>
  <c r="H10" i="5"/>
  <c r="J10" i="5"/>
  <c r="C11" i="5"/>
  <c r="H11" i="5"/>
  <c r="J11" i="5"/>
  <c r="C12" i="5"/>
  <c r="H12" i="5"/>
  <c r="J12" i="5"/>
  <c r="C13" i="5"/>
  <c r="H13" i="5"/>
  <c r="J13" i="5"/>
  <c r="C14" i="5"/>
  <c r="H14" i="5"/>
  <c r="J14" i="5"/>
  <c r="C15" i="5"/>
  <c r="H15" i="5"/>
  <c r="J15" i="5"/>
  <c r="C16" i="5"/>
  <c r="D16" i="5"/>
  <c r="G16" i="5"/>
  <c r="K16" i="5"/>
  <c r="C17" i="5"/>
  <c r="G17" i="5"/>
  <c r="K17" i="5"/>
  <c r="C18" i="5"/>
  <c r="G18" i="5"/>
  <c r="K18" i="5"/>
  <c r="C19" i="5"/>
  <c r="G19" i="5"/>
  <c r="K19" i="5"/>
  <c r="C20" i="5"/>
  <c r="G20" i="5"/>
  <c r="K20" i="5"/>
  <c r="C21" i="5"/>
  <c r="G21" i="5"/>
  <c r="K21" i="5"/>
  <c r="C22" i="5"/>
  <c r="G22" i="5"/>
  <c r="K22" i="5"/>
  <c r="C23" i="5"/>
  <c r="G23" i="5"/>
  <c r="K23" i="5"/>
  <c r="C24" i="5"/>
  <c r="G24" i="5"/>
  <c r="K24" i="5"/>
  <c r="C25" i="5"/>
  <c r="G25" i="5"/>
  <c r="K25" i="5"/>
  <c r="C26" i="5"/>
  <c r="G26" i="5"/>
  <c r="K26" i="5"/>
  <c r="C27" i="5"/>
  <c r="H27" i="5"/>
  <c r="J27" i="5"/>
  <c r="C28" i="5"/>
  <c r="H28" i="5"/>
  <c r="J28" i="5"/>
  <c r="C29" i="5"/>
  <c r="G29" i="5"/>
  <c r="K29" i="5"/>
  <c r="C30" i="5"/>
  <c r="G30" i="5"/>
  <c r="K30" i="5"/>
  <c r="C31" i="5"/>
  <c r="G31" i="5"/>
  <c r="K31" i="5"/>
  <c r="C32" i="5"/>
  <c r="G32" i="5"/>
  <c r="K32" i="5"/>
  <c r="C33" i="5"/>
  <c r="G33" i="5"/>
  <c r="K33" i="5"/>
  <c r="C34" i="5"/>
  <c r="G34" i="5"/>
  <c r="K34" i="5"/>
  <c r="C35" i="5"/>
  <c r="G35" i="5"/>
  <c r="K35" i="5"/>
  <c r="C36" i="5"/>
  <c r="G36" i="5"/>
  <c r="K36" i="5"/>
  <c r="C37" i="5"/>
  <c r="G37" i="5"/>
  <c r="K37" i="5"/>
  <c r="C38" i="5"/>
  <c r="G38" i="5"/>
  <c r="K38" i="5"/>
  <c r="C39" i="5"/>
  <c r="F39" i="5"/>
  <c r="K39" i="5"/>
  <c r="C40" i="5"/>
  <c r="F40" i="5"/>
  <c r="K40" i="5"/>
  <c r="B39" i="5"/>
  <c r="B40" i="5"/>
  <c r="B28" i="5"/>
  <c r="B29" i="5"/>
  <c r="B30" i="5"/>
  <c r="B31" i="5"/>
  <c r="B32" i="5"/>
  <c r="B33" i="5"/>
  <c r="B34" i="5"/>
  <c r="B35" i="5"/>
  <c r="B36" i="5"/>
  <c r="B37" i="5"/>
  <c r="B38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C6" i="5"/>
  <c r="H6" i="5"/>
  <c r="J6" i="5"/>
  <c r="B6" i="5"/>
  <c r="F6" i="4"/>
  <c r="F29" i="4" s="1"/>
  <c r="L6" i="4"/>
  <c r="C6" i="4"/>
  <c r="B6" i="4"/>
  <c r="E29" i="4"/>
  <c r="G7" i="4"/>
  <c r="K7" i="4"/>
  <c r="C7" i="4"/>
  <c r="M29" i="4"/>
  <c r="B7" i="4"/>
  <c r="N29" i="4"/>
  <c r="B8" i="4"/>
  <c r="C8" i="4"/>
  <c r="G8" i="4"/>
  <c r="K8" i="4"/>
  <c r="B9" i="4"/>
  <c r="C9" i="4"/>
  <c r="G9" i="4"/>
  <c r="K9" i="4"/>
  <c r="B10" i="4"/>
  <c r="C10" i="4"/>
  <c r="H10" i="4"/>
  <c r="J10" i="4"/>
  <c r="B11" i="4"/>
  <c r="C11" i="4"/>
  <c r="H11" i="4"/>
  <c r="J11" i="4"/>
  <c r="B12" i="4"/>
  <c r="C12" i="4"/>
  <c r="H12" i="4"/>
  <c r="J12" i="4"/>
  <c r="B13" i="4"/>
  <c r="C13" i="4"/>
  <c r="H13" i="4"/>
  <c r="J13" i="4"/>
  <c r="B14" i="4"/>
  <c r="C14" i="4"/>
  <c r="H14" i="4"/>
  <c r="J14" i="4"/>
  <c r="B15" i="4"/>
  <c r="C15" i="4"/>
  <c r="H15" i="4"/>
  <c r="J15" i="4"/>
  <c r="B16" i="4"/>
  <c r="C16" i="4"/>
  <c r="H16" i="4"/>
  <c r="J16" i="4"/>
  <c r="B17" i="4"/>
  <c r="C17" i="4"/>
  <c r="H17" i="4"/>
  <c r="J17" i="4"/>
  <c r="B18" i="4"/>
  <c r="C18" i="4"/>
  <c r="H18" i="4"/>
  <c r="J18" i="4"/>
  <c r="B19" i="4"/>
  <c r="C19" i="4"/>
  <c r="G19" i="4"/>
  <c r="K19" i="4"/>
  <c r="B20" i="4"/>
  <c r="C20" i="4"/>
  <c r="G20" i="4"/>
  <c r="K20" i="4"/>
  <c r="B21" i="4"/>
  <c r="C21" i="4"/>
  <c r="G21" i="4"/>
  <c r="K21" i="4"/>
  <c r="B22" i="4"/>
  <c r="C22" i="4"/>
  <c r="G22" i="4"/>
  <c r="K22" i="4"/>
  <c r="B23" i="4"/>
  <c r="C23" i="4"/>
  <c r="G23" i="4"/>
  <c r="K23" i="4"/>
  <c r="B24" i="4"/>
  <c r="C24" i="4"/>
  <c r="G24" i="4"/>
  <c r="K24" i="4"/>
  <c r="B25" i="4"/>
  <c r="C25" i="4"/>
  <c r="G25" i="4"/>
  <c r="K25" i="4"/>
  <c r="B26" i="4"/>
  <c r="C26" i="4"/>
  <c r="G26" i="4"/>
  <c r="K26" i="4"/>
  <c r="B27" i="4"/>
  <c r="C27" i="4"/>
  <c r="H27" i="4"/>
  <c r="J27" i="4"/>
  <c r="B28" i="4"/>
  <c r="C28" i="4"/>
  <c r="H28" i="4"/>
  <c r="L28" i="4"/>
  <c r="E20" i="3"/>
  <c r="F20" i="3"/>
  <c r="L20" i="3"/>
  <c r="M20" i="3"/>
  <c r="N20" i="3"/>
  <c r="B7" i="3"/>
  <c r="C7" i="3"/>
  <c r="H7" i="3"/>
  <c r="J7" i="3"/>
  <c r="B8" i="3"/>
  <c r="C8" i="3"/>
  <c r="H8" i="3"/>
  <c r="J8" i="3"/>
  <c r="B9" i="3"/>
  <c r="C9" i="3"/>
  <c r="H9" i="3"/>
  <c r="J9" i="3"/>
  <c r="B10" i="3"/>
  <c r="C10" i="3"/>
  <c r="H10" i="3"/>
  <c r="J10" i="3"/>
  <c r="B11" i="3"/>
  <c r="C11" i="3"/>
  <c r="H11" i="3"/>
  <c r="J11" i="3"/>
  <c r="B12" i="3"/>
  <c r="C12" i="3"/>
  <c r="H12" i="3"/>
  <c r="J12" i="3"/>
  <c r="B13" i="3"/>
  <c r="C13" i="3"/>
  <c r="H13" i="3"/>
  <c r="J13" i="3"/>
  <c r="B14" i="3"/>
  <c r="C14" i="3"/>
  <c r="H14" i="3"/>
  <c r="J14" i="3"/>
  <c r="B15" i="3"/>
  <c r="C15" i="3"/>
  <c r="G15" i="3"/>
  <c r="K15" i="3"/>
  <c r="B16" i="3"/>
  <c r="C16" i="3"/>
  <c r="G16" i="3"/>
  <c r="K16" i="3"/>
  <c r="B17" i="3"/>
  <c r="C17" i="3"/>
  <c r="G17" i="3"/>
  <c r="K17" i="3"/>
  <c r="B18" i="3"/>
  <c r="C18" i="3"/>
  <c r="G18" i="3"/>
  <c r="K18" i="3"/>
  <c r="B19" i="3"/>
  <c r="C19" i="3"/>
  <c r="G19" i="3"/>
  <c r="K19" i="3"/>
  <c r="C6" i="3"/>
  <c r="H6" i="3"/>
  <c r="J6" i="3"/>
  <c r="B6" i="3"/>
  <c r="D13" i="2"/>
  <c r="D12" i="2"/>
  <c r="D11" i="2"/>
  <c r="D10" i="2"/>
  <c r="D9" i="2"/>
  <c r="D8" i="2"/>
  <c r="D7" i="2"/>
  <c r="D6" i="2"/>
  <c r="D367" i="1"/>
  <c r="E6" i="1"/>
  <c r="E7" i="1"/>
  <c r="E8" i="1"/>
  <c r="E9" i="1"/>
  <c r="E11" i="1"/>
  <c r="E12" i="1"/>
  <c r="E15" i="1"/>
  <c r="E16" i="1"/>
  <c r="E17" i="1"/>
  <c r="E18" i="1"/>
  <c r="E19" i="1"/>
  <c r="E20" i="1"/>
  <c r="E21" i="1"/>
  <c r="E22" i="1"/>
  <c r="E23" i="1"/>
  <c r="E24" i="1"/>
  <c r="D6" i="7"/>
  <c r="D7" i="7"/>
  <c r="D8" i="7"/>
  <c r="D9" i="7"/>
  <c r="D10" i="7"/>
  <c r="D11" i="7"/>
  <c r="D12" i="7"/>
  <c r="D13" i="7"/>
  <c r="D6" i="5"/>
  <c r="D17" i="7"/>
  <c r="D18" i="7"/>
  <c r="D9" i="5"/>
  <c r="D20" i="7"/>
  <c r="D11" i="5"/>
  <c r="D22" i="7"/>
  <c r="D23" i="7"/>
  <c r="D14" i="5"/>
  <c r="D15" i="5"/>
  <c r="D27" i="7"/>
  <c r="D18" i="5"/>
  <c r="D29" i="7"/>
  <c r="D20" i="5"/>
  <c r="D21" i="5"/>
  <c r="D32" i="7"/>
  <c r="D33" i="7"/>
  <c r="D24" i="5"/>
  <c r="D25" i="6"/>
  <c r="D26" i="5"/>
  <c r="D37" i="7"/>
  <c r="D38" i="7"/>
  <c r="D29" i="5"/>
  <c r="D31" i="5"/>
  <c r="D42" i="7"/>
  <c r="D33" i="6"/>
  <c r="D34" i="5"/>
  <c r="D35" i="5"/>
  <c r="D36" i="6"/>
  <c r="D47" i="7"/>
  <c r="D48" i="7"/>
  <c r="D39" i="5"/>
  <c r="D50" i="7"/>
  <c r="D53" i="7"/>
  <c r="D54" i="7"/>
  <c r="D55" i="7"/>
  <c r="D56" i="7"/>
  <c r="D57" i="7"/>
  <c r="D58" i="7"/>
  <c r="D59" i="7"/>
  <c r="D60" i="7"/>
  <c r="D63" i="7"/>
  <c r="D64" i="7"/>
  <c r="D8" i="4"/>
  <c r="D9" i="4"/>
  <c r="D67" i="7"/>
  <c r="D68" i="7"/>
  <c r="D69" i="7"/>
  <c r="D70" i="7"/>
  <c r="D48" i="6"/>
  <c r="D49" i="6"/>
  <c r="D73" i="7"/>
  <c r="D74" i="7"/>
  <c r="D75" i="7"/>
  <c r="D19" i="4"/>
  <c r="D20" i="4"/>
  <c r="D78" i="7"/>
  <c r="D79" i="7"/>
  <c r="D23" i="4"/>
  <c r="D24" i="4"/>
  <c r="D59" i="6"/>
  <c r="D83" i="7"/>
  <c r="D84" i="7"/>
  <c r="D62" i="6"/>
  <c r="E354" i="1"/>
  <c r="E361" i="1" s="1"/>
  <c r="E355" i="1"/>
  <c r="E356" i="1"/>
  <c r="E357" i="1"/>
  <c r="E358" i="1"/>
  <c r="E359" i="1"/>
  <c r="D30" i="5"/>
  <c r="B18" i="2" l="1"/>
  <c r="B22" i="2" s="1"/>
  <c r="W25" i="1"/>
  <c r="J403" i="1" a="1"/>
  <c r="J403" i="1" s="1"/>
  <c r="J411" i="1" s="1"/>
  <c r="B17" i="2"/>
  <c r="D17" i="4"/>
  <c r="D26" i="6"/>
  <c r="Q72" i="6"/>
  <c r="D27" i="5"/>
  <c r="D15" i="3"/>
  <c r="D12" i="5"/>
  <c r="D72" i="7"/>
  <c r="D46" i="6"/>
  <c r="D21" i="7"/>
  <c r="D28" i="4"/>
  <c r="T70" i="6"/>
  <c r="D25" i="5"/>
  <c r="D19" i="6"/>
  <c r="D35" i="7"/>
  <c r="D43" i="6"/>
  <c r="D40" i="5"/>
  <c r="D66" i="7"/>
  <c r="D27" i="6"/>
  <c r="T10" i="6"/>
  <c r="D34" i="7"/>
  <c r="S95" i="7"/>
  <c r="AA9" i="1"/>
  <c r="AA10" i="1"/>
  <c r="D10" i="3"/>
  <c r="D14" i="4"/>
  <c r="D22" i="5"/>
  <c r="D19" i="5"/>
  <c r="D56" i="6"/>
  <c r="D49" i="7"/>
  <c r="D31" i="7"/>
  <c r="D28" i="7"/>
  <c r="D76" i="7"/>
  <c r="D22" i="4"/>
  <c r="D32" i="5"/>
  <c r="D52" i="6"/>
  <c r="D21" i="6"/>
  <c r="D41" i="7"/>
  <c r="D7" i="5"/>
  <c r="D45" i="6"/>
  <c r="D42" i="6"/>
  <c r="D31" i="6"/>
  <c r="D23" i="6"/>
  <c r="D7" i="6"/>
  <c r="D16" i="7"/>
  <c r="D65" i="7"/>
  <c r="Q95" i="7"/>
  <c r="T10" i="5"/>
  <c r="D18" i="6"/>
  <c r="D30" i="7"/>
  <c r="D6" i="3"/>
  <c r="D9" i="3"/>
  <c r="D13" i="4"/>
  <c r="D51" i="6"/>
  <c r="D40" i="7"/>
  <c r="D71" i="7"/>
  <c r="D14" i="3"/>
  <c r="D18" i="4"/>
  <c r="D20" i="6"/>
  <c r="D36" i="7"/>
  <c r="T45" i="6"/>
  <c r="D7" i="3"/>
  <c r="D11" i="3"/>
  <c r="D10" i="4"/>
  <c r="D47" i="6"/>
  <c r="D44" i="6"/>
  <c r="D19" i="3"/>
  <c r="D57" i="6"/>
  <c r="D30" i="6"/>
  <c r="D22" i="6"/>
  <c r="D6" i="6"/>
  <c r="D77" i="7"/>
  <c r="D50" i="6"/>
  <c r="T71" i="6"/>
  <c r="T10" i="4"/>
  <c r="D12" i="4"/>
  <c r="D11" i="6"/>
  <c r="V11" i="1"/>
  <c r="X11" i="1"/>
  <c r="Y11" i="1"/>
  <c r="Z11" i="1"/>
  <c r="AA8" i="1"/>
  <c r="F41" i="5"/>
  <c r="G63" i="6"/>
  <c r="D17" i="5"/>
  <c r="K63" i="6"/>
  <c r="D26" i="4"/>
  <c r="K41" i="5"/>
  <c r="D6" i="4"/>
  <c r="D10" i="5"/>
  <c r="D44" i="7"/>
  <c r="D39" i="7"/>
  <c r="D19" i="7"/>
  <c r="H41" i="5"/>
  <c r="D80" i="7"/>
  <c r="D54" i="6"/>
  <c r="C86" i="7"/>
  <c r="D13" i="3"/>
  <c r="D16" i="4"/>
  <c r="D17" i="6"/>
  <c r="D37" i="5"/>
  <c r="D46" i="7"/>
  <c r="I17" i="2"/>
  <c r="J63" i="6"/>
  <c r="D25" i="4"/>
  <c r="D60" i="6"/>
  <c r="D55" i="6"/>
  <c r="D10" i="6"/>
  <c r="C61" i="7"/>
  <c r="D37" i="6"/>
  <c r="B63" i="6"/>
  <c r="D58" i="6"/>
  <c r="K39" i="6"/>
  <c r="J39" i="6"/>
  <c r="G39" i="6"/>
  <c r="H39" i="6"/>
  <c r="D7" i="4"/>
  <c r="D35" i="6"/>
  <c r="D15" i="6"/>
  <c r="D82" i="7"/>
  <c r="D61" i="6"/>
  <c r="D41" i="6"/>
  <c r="G41" i="5"/>
  <c r="C63" i="6"/>
  <c r="D63" i="6" s="1"/>
  <c r="D36" i="5"/>
  <c r="D45" i="7"/>
  <c r="D25" i="7"/>
  <c r="C42" i="5"/>
  <c r="C43" i="5" s="1"/>
  <c r="H63" i="6"/>
  <c r="D81" i="7"/>
  <c r="D18" i="3"/>
  <c r="D14" i="6"/>
  <c r="D13" i="6"/>
  <c r="D38" i="6"/>
  <c r="D43" i="7"/>
  <c r="D53" i="6"/>
  <c r="D16" i="3"/>
  <c r="D12" i="3"/>
  <c r="D8" i="3"/>
  <c r="D27" i="4"/>
  <c r="D15" i="4"/>
  <c r="D11" i="4"/>
  <c r="D38" i="5"/>
  <c r="D33" i="5"/>
  <c r="D28" i="5"/>
  <c r="D23" i="5"/>
  <c r="D13" i="5"/>
  <c r="D8" i="5"/>
  <c r="D32" i="6"/>
  <c r="D28" i="6"/>
  <c r="D24" i="6"/>
  <c r="D12" i="6"/>
  <c r="D8" i="6"/>
  <c r="D21" i="4"/>
  <c r="D34" i="6"/>
  <c r="J41" i="5"/>
  <c r="D24" i="7"/>
  <c r="D17" i="3"/>
  <c r="D29" i="6"/>
  <c r="D9" i="6"/>
  <c r="B39" i="6"/>
  <c r="B61" i="7"/>
  <c r="C39" i="6"/>
  <c r="D39" i="6" s="1"/>
  <c r="L63" i="6"/>
  <c r="T10" i="3"/>
  <c r="C21" i="3"/>
  <c r="C22" i="3" s="1"/>
  <c r="K20" i="3"/>
  <c r="G20" i="3"/>
  <c r="J20" i="3"/>
  <c r="H20" i="3"/>
  <c r="S72" i="6"/>
  <c r="R72" i="6"/>
  <c r="T69" i="6"/>
  <c r="K61" i="7"/>
  <c r="H86" i="7"/>
  <c r="R95" i="7"/>
  <c r="B14" i="7"/>
  <c r="G61" i="7"/>
  <c r="F87" i="7"/>
  <c r="B86" i="7"/>
  <c r="C88" i="7"/>
  <c r="C89" i="7" s="1"/>
  <c r="G86" i="7"/>
  <c r="J87" i="7"/>
  <c r="H87" i="7"/>
  <c r="K86" i="7"/>
  <c r="G87" i="7"/>
  <c r="J86" i="7"/>
  <c r="K87" i="7"/>
  <c r="T93" i="7"/>
  <c r="T94" i="7"/>
  <c r="T57" i="7"/>
  <c r="T92" i="7"/>
  <c r="L87" i="7"/>
  <c r="T67" i="7"/>
  <c r="T20" i="7"/>
  <c r="T10" i="7"/>
  <c r="K51" i="7"/>
  <c r="J51" i="7"/>
  <c r="B51" i="7"/>
  <c r="F51" i="7"/>
  <c r="C14" i="7"/>
  <c r="D14" i="7" s="1"/>
  <c r="C51" i="7"/>
  <c r="D51" i="7" s="1"/>
  <c r="J14" i="7"/>
  <c r="G51" i="7"/>
  <c r="H51" i="7"/>
  <c r="K14" i="7"/>
  <c r="H14" i="7"/>
  <c r="K64" i="6"/>
  <c r="H64" i="6"/>
  <c r="G64" i="6"/>
  <c r="J64" i="6"/>
  <c r="C65" i="6"/>
  <c r="C66" i="6" s="1"/>
  <c r="J17" i="2"/>
  <c r="N17" i="2"/>
  <c r="M17" i="2"/>
  <c r="L17" i="2"/>
  <c r="K17" i="2"/>
  <c r="G17" i="2"/>
  <c r="L29" i="4"/>
  <c r="J29" i="4"/>
  <c r="C30" i="4"/>
  <c r="C31" i="4" s="1"/>
  <c r="K29" i="4"/>
  <c r="G29" i="4"/>
  <c r="H29" i="4"/>
  <c r="I364" i="1"/>
  <c r="J364" i="1"/>
  <c r="L364" i="1"/>
  <c r="K364" i="1" l="1"/>
  <c r="K403" i="1"/>
  <c r="J413" i="1" a="1"/>
  <c r="J413" i="1" s="1"/>
  <c r="J43" i="5"/>
  <c r="M42" i="5" s="1"/>
  <c r="T95" i="7"/>
  <c r="T72" i="6"/>
  <c r="AA11" i="1"/>
  <c r="J66" i="6"/>
  <c r="N65" i="6" s="1"/>
  <c r="J22" i="3"/>
  <c r="J89" i="7"/>
  <c r="J88" i="7" s="1"/>
  <c r="J19" i="2"/>
  <c r="N18" i="2" s="1"/>
  <c r="J31" i="4"/>
  <c r="M30" i="4" s="1"/>
  <c r="P364" i="1"/>
  <c r="N364" i="1"/>
  <c r="M364" i="1"/>
  <c r="H17" i="2" l="1"/>
  <c r="M403" i="1"/>
  <c r="M411" i="1" s="1"/>
  <c r="M412" i="1" s="1"/>
  <c r="L403" i="1"/>
  <c r="K411" i="1"/>
  <c r="D415" i="1" a="1"/>
  <c r="D415" i="1" s="1"/>
  <c r="K42" i="5"/>
  <c r="L42" i="5"/>
  <c r="J42" i="5"/>
  <c r="N42" i="5"/>
  <c r="J65" i="6"/>
  <c r="J18" i="2"/>
  <c r="M65" i="6"/>
  <c r="L65" i="6"/>
  <c r="K65" i="6"/>
  <c r="M18" i="2"/>
  <c r="L18" i="2"/>
  <c r="K18" i="2"/>
  <c r="K21" i="3"/>
  <c r="J21" i="3"/>
  <c r="M21" i="3"/>
  <c r="N21" i="3"/>
  <c r="L21" i="3"/>
  <c r="M88" i="7"/>
  <c r="N88" i="7"/>
  <c r="K88" i="7"/>
  <c r="L88" i="7"/>
  <c r="D61" i="7"/>
  <c r="D86" i="7"/>
  <c r="N30" i="4"/>
  <c r="K30" i="4"/>
  <c r="J30" i="4"/>
  <c r="L30" i="4"/>
  <c r="L366" i="1"/>
  <c r="O365" i="1" l="1"/>
  <c r="Q365" i="1"/>
  <c r="N365" i="1"/>
  <c r="P365" i="1"/>
  <c r="L365" i="1"/>
  <c r="M365" i="1"/>
  <c r="E1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Alessio Testa</author>
  </authors>
  <commentList>
    <comment ref="P13" authorId="0" shapeId="0" xr:uid="{78287147-22CF-4224-9A8B-B5961F5DC73A}">
      <text>
        <r>
          <rPr>
            <b/>
            <sz val="9"/>
            <color indexed="81"/>
            <rFont val="Tahoma"/>
            <family val="2"/>
          </rPr>
          <t>Alessio Testa:</t>
        </r>
        <r>
          <rPr>
            <sz val="9"/>
            <color indexed="81"/>
            <rFont val="Tahoma"/>
            <family val="2"/>
          </rPr>
          <t xml:space="preserve">
See cell J326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<sst xmlns="http://schemas.openxmlformats.org/spreadsheetml/2006/main" count="6256" uniqueCount="666">
  <si>
    <t>Plot No:</t>
  </si>
  <si>
    <t>Parking On-Plot:</t>
  </si>
  <si>
    <t>Beds</t>
  </si>
  <si>
    <t>Duplex Maisonette:</t>
  </si>
  <si>
    <t>Sqm.</t>
  </si>
  <si>
    <t>Grand Total No of Plots:</t>
  </si>
  <si>
    <t>Total GIA (sq.m.):</t>
  </si>
  <si>
    <t>Grand Total (sq.ft.):</t>
  </si>
  <si>
    <t>Y</t>
  </si>
  <si>
    <t>Retail 1</t>
  </si>
  <si>
    <t>Retail 2</t>
  </si>
  <si>
    <t>Retail 3</t>
  </si>
  <si>
    <t>Retail 4</t>
  </si>
  <si>
    <t>Retail 5</t>
  </si>
  <si>
    <t>Concierge</t>
  </si>
  <si>
    <t>House</t>
  </si>
  <si>
    <t>Duplex Flat</t>
  </si>
  <si>
    <t>Flat</t>
  </si>
  <si>
    <t>Sqft.</t>
  </si>
  <si>
    <t>Artist Mews</t>
  </si>
  <si>
    <t>Crown Court</t>
  </si>
  <si>
    <t>Falkland Place</t>
  </si>
  <si>
    <t>Smith's Yard</t>
  </si>
  <si>
    <t>Alma Court</t>
  </si>
  <si>
    <t>Victoria &amp; Edward House</t>
  </si>
  <si>
    <t>Plenty's Place</t>
  </si>
  <si>
    <t>Iron Yard</t>
  </si>
  <si>
    <t>Gross GIA (GSHP, Bin Stores, Cycle Stores, Stair Cores)  Excludes the Exisiting ESS</t>
  </si>
  <si>
    <t>1B</t>
  </si>
  <si>
    <t>2B</t>
  </si>
  <si>
    <t>3B</t>
  </si>
  <si>
    <t>Garages</t>
  </si>
  <si>
    <t>Cycle Stores</t>
  </si>
  <si>
    <t>GSHP Plant Rooms</t>
  </si>
  <si>
    <t>Stair Cores &amp; Communal Areas</t>
  </si>
  <si>
    <t>Roof Terrace Area</t>
  </si>
  <si>
    <t>TOTAL</t>
  </si>
  <si>
    <t>Kennet Old Town, Newbury - Residential Scheme (19401)</t>
  </si>
  <si>
    <t>Total Commercial</t>
  </si>
  <si>
    <t>Balconies</t>
  </si>
  <si>
    <t>Total Plots</t>
  </si>
  <si>
    <t>Total Sqm.</t>
  </si>
  <si>
    <t>Total Sqft.</t>
  </si>
  <si>
    <t>Court Yard Name:</t>
  </si>
  <si>
    <t>Eagle Yard</t>
  </si>
  <si>
    <t>Plentys Place &amp; Smiths Yard</t>
  </si>
  <si>
    <t>Edward House</t>
  </si>
  <si>
    <t>Sub-Total</t>
  </si>
  <si>
    <t>Chestnut House</t>
  </si>
  <si>
    <t>Vicotria House</t>
  </si>
  <si>
    <t>Summary Table</t>
  </si>
  <si>
    <t>Duplex Maisonette</t>
  </si>
  <si>
    <t>Total</t>
  </si>
  <si>
    <t>Iron Yard Summary Table</t>
  </si>
  <si>
    <t>DM</t>
  </si>
  <si>
    <t>DF</t>
  </si>
  <si>
    <t>F</t>
  </si>
  <si>
    <t>Victoria House Summary Table</t>
  </si>
  <si>
    <t>Chestnut House Summary Table</t>
  </si>
  <si>
    <t>Edward House Summary Table</t>
  </si>
  <si>
    <t>H</t>
  </si>
  <si>
    <t>Amenity</t>
  </si>
  <si>
    <t>4B</t>
  </si>
  <si>
    <t>Roof Terrace</t>
  </si>
  <si>
    <t>Frontage Amenity</t>
  </si>
  <si>
    <t>Community Amenity</t>
  </si>
  <si>
    <t>Balcony</t>
  </si>
  <si>
    <t>Shared Garden</t>
  </si>
  <si>
    <t>Amenity Summary</t>
  </si>
  <si>
    <t>Number of Plots</t>
  </si>
  <si>
    <t>Type of Amenity</t>
  </si>
  <si>
    <t>MULTI FAMILY</t>
  </si>
  <si>
    <t>Maisonette/ Duplex Maisonette:</t>
  </si>
  <si>
    <t>Proposed Single Family Average Unit Size</t>
  </si>
  <si>
    <t>Number of Beds:</t>
  </si>
  <si>
    <t>Single Family Split</t>
  </si>
  <si>
    <t>Average Unit Size Sqm.</t>
  </si>
  <si>
    <t>GRAND TOTAL:</t>
  </si>
  <si>
    <t>AVE. UNIT SIZE (sq.ft):</t>
  </si>
  <si>
    <t>-</t>
  </si>
  <si>
    <t>M/DM</t>
  </si>
  <si>
    <t>Average Unit Size Sqft.</t>
  </si>
  <si>
    <t>Revised Single Family Summary Table</t>
  </si>
  <si>
    <t>Multi Family Split</t>
  </si>
  <si>
    <t>Revised Multi Family Summary Table</t>
  </si>
  <si>
    <t>Proposed Multi Family Average Unit Size</t>
  </si>
  <si>
    <t>Total Number of Dwellings</t>
  </si>
  <si>
    <t xml:space="preserve"> Old Town, Newbury - Residential Scheme (19401)</t>
  </si>
  <si>
    <t>Proposed Average Unit Size</t>
  </si>
  <si>
    <t>SINGLE FAMILY</t>
  </si>
  <si>
    <t>Bin Stores</t>
  </si>
  <si>
    <t>Alma Court &amp; Ashton Court</t>
  </si>
  <si>
    <t>Courtyard</t>
  </si>
  <si>
    <t>Artist Mews &amp; Eagle Yard</t>
  </si>
  <si>
    <t>Misc.</t>
  </si>
  <si>
    <t>Number of Lifts</t>
  </si>
  <si>
    <t>Old Town, Newbury - Residential Scheme (19401)</t>
  </si>
  <si>
    <t>Total (Sqm)</t>
  </si>
  <si>
    <t>Parking Spaces</t>
  </si>
  <si>
    <t>Cycle Parking</t>
  </si>
  <si>
    <t>Parking in Garage</t>
  </si>
  <si>
    <t>Total Car Parking</t>
  </si>
  <si>
    <t>Total Cycle Parking</t>
  </si>
  <si>
    <t>Sub-total</t>
  </si>
  <si>
    <t>Cycle Parking in Car Park</t>
  </si>
  <si>
    <t>Required Cycle Parking</t>
  </si>
  <si>
    <t>(1B =1 per Unit | 2B+ = 2 Per Unit)</t>
  </si>
  <si>
    <t>Vicotria Court &amp; Edward House</t>
  </si>
  <si>
    <t>Difference</t>
  </si>
  <si>
    <t>H/L</t>
  </si>
  <si>
    <t>Number of 1B</t>
  </si>
  <si>
    <t>Number of 2B+</t>
  </si>
  <si>
    <t>Required No. Bikes</t>
  </si>
  <si>
    <t>Total Units</t>
  </si>
  <si>
    <t>Total Difference</t>
  </si>
  <si>
    <t>Sub-Total Difference</t>
  </si>
  <si>
    <t>Total (Sqft)</t>
  </si>
  <si>
    <t>212A</t>
  </si>
  <si>
    <t>Area of External Staircase and Walkway Access</t>
  </si>
  <si>
    <t>Total Resi GIA (sq.m.):</t>
  </si>
  <si>
    <t>Grand Total Resi, Retail &amp; Consierge GIA (sq.m):</t>
  </si>
  <si>
    <t>Grand Total Resi, Retail &amp; Consierge GIA (sq.ft.):</t>
  </si>
  <si>
    <t>Artist's Mews</t>
  </si>
  <si>
    <t>Plenty's Place &amp; Smith's Yard</t>
  </si>
  <si>
    <t xml:space="preserve">Plenty's Place </t>
  </si>
  <si>
    <t>Ashton Thicket &amp; Ashton Court</t>
  </si>
  <si>
    <t>Edward House &amp; Victoria Court</t>
  </si>
  <si>
    <t>Ashton Court &amp; Ashton Thicket</t>
  </si>
  <si>
    <t>Location:</t>
  </si>
  <si>
    <t>Tenure:</t>
  </si>
  <si>
    <t>Flats</t>
  </si>
  <si>
    <t>https://www.westberks.gov.uk/media/38132/Chapter-9-Development-Management-Policies-Parking-Policy/pdf/Development_Management_Policies_-_Parking_Policy.pdf?m=636662941574200000</t>
  </si>
  <si>
    <t>Homes</t>
  </si>
  <si>
    <t>3B+</t>
  </si>
  <si>
    <t>Vistors (1 per 5 Flats)</t>
  </si>
  <si>
    <t>Standard Per Unit (Zone 1)</t>
  </si>
  <si>
    <t>Required Parking Spaces</t>
  </si>
  <si>
    <t>No of Beds.</t>
  </si>
  <si>
    <t>No. Units</t>
  </si>
  <si>
    <t>Required Sub-total (Exc. Vistors)</t>
  </si>
  <si>
    <t>Total Required No. Parking Spaces Required (Inc. Vistors)</t>
  </si>
  <si>
    <t xml:space="preserve"> Car Parking Compliance</t>
  </si>
  <si>
    <t>Car Parking (Exc. Garages)</t>
  </si>
  <si>
    <t>Semi-basement</t>
  </si>
  <si>
    <t>Ground Floor</t>
  </si>
  <si>
    <t>First Floor</t>
  </si>
  <si>
    <t>Second Floor</t>
  </si>
  <si>
    <t>Third Floor</t>
  </si>
  <si>
    <t>Fourth Floor</t>
  </si>
  <si>
    <t>Fifth Floor</t>
  </si>
  <si>
    <t>Sixth Floor</t>
  </si>
  <si>
    <t>Primary Semi-private Amenity Space</t>
  </si>
  <si>
    <t>Private Garden/Courtyard</t>
  </si>
  <si>
    <t>Community Garden</t>
  </si>
  <si>
    <t>Enclosed Frontage Amenity Spill-out Space</t>
  </si>
  <si>
    <t>Public Amenity Value</t>
  </si>
  <si>
    <t>Public Frontage Amenity</t>
  </si>
  <si>
    <t>Mews Main Route</t>
  </si>
  <si>
    <t>Private Balcony</t>
  </si>
  <si>
    <t>Shared Walkway Balcony</t>
  </si>
  <si>
    <t>Community Hub Roof Garden</t>
  </si>
  <si>
    <t>Amenity Area By Floor (sqm)</t>
  </si>
  <si>
    <t>Total Sqm</t>
  </si>
  <si>
    <t>Private Front Garden</t>
  </si>
  <si>
    <t>Private Rear Garden</t>
  </si>
  <si>
    <t>All Retail &amp; Conceirge to White Box Standard &amp; includes Aircon.</t>
  </si>
  <si>
    <t>Concierge, Kitchenette, Parcel Room, Meeting Room, Gym</t>
  </si>
  <si>
    <t>Study.</t>
  </si>
  <si>
    <t>Single Storey</t>
  </si>
  <si>
    <t>Storey's.</t>
  </si>
  <si>
    <t>Two Storey's</t>
  </si>
  <si>
    <t>Three Storey's</t>
  </si>
  <si>
    <t>Four Storey's</t>
  </si>
  <si>
    <t>Number of Storey's</t>
  </si>
  <si>
    <t>Storey Height Summary</t>
  </si>
  <si>
    <t>Gross</t>
  </si>
  <si>
    <t>Net</t>
  </si>
  <si>
    <t>Unit Type:</t>
  </si>
  <si>
    <t>Coach House.</t>
  </si>
  <si>
    <t>Shared Roof Terrace</t>
  </si>
  <si>
    <t>Definition of a House (Old town Scheme)</t>
  </si>
  <si>
    <t>Definition of a Coach House (Old town Scheme)</t>
  </si>
  <si>
    <t>Dwelling with built form over a drive through.</t>
  </si>
  <si>
    <t>Dwelling with atleast a W.C on the ground floor,</t>
  </si>
  <si>
    <t>Dwelling with a private access on the ground floor,</t>
  </si>
  <si>
    <t>Dwelling with a private access on any floor,</t>
  </si>
  <si>
    <t>Definition of a Duplex Maisonette (Old town Scheme)</t>
  </si>
  <si>
    <t>Single storey dwelling.</t>
  </si>
  <si>
    <t>Definition of a Maisonette (Old town Scheme)</t>
  </si>
  <si>
    <t>Multi storey dwelling.</t>
  </si>
  <si>
    <t>Definition of a Flat (Old town Scheme)</t>
  </si>
  <si>
    <t>Dwelling with a Communal access on any floor,</t>
  </si>
  <si>
    <t>Dwelling with another dwelling or retail unit above or below it,</t>
  </si>
  <si>
    <t>Dwelling with no other dwelling or retail unit above or below it,</t>
  </si>
  <si>
    <t>Dwelling with no other dwelling or retail unit above or below it.</t>
  </si>
  <si>
    <t>Definition of a Duplex Flat (Old town Scheme)</t>
  </si>
  <si>
    <t>CH</t>
  </si>
  <si>
    <t>Approved Scheme'</t>
  </si>
  <si>
    <t>Proposed Scheme</t>
  </si>
  <si>
    <t>Units</t>
  </si>
  <si>
    <t>Bed Spaces</t>
  </si>
  <si>
    <t>3% Difference</t>
  </si>
  <si>
    <t>26% less</t>
  </si>
  <si>
    <t>Public Mother and Child Parking Spaces</t>
  </si>
  <si>
    <t>Public Parking Spaces</t>
  </si>
  <si>
    <t>Private Parking Spaces</t>
  </si>
  <si>
    <t>Public Disabled Parking Spaces</t>
  </si>
  <si>
    <t>Public EV Charging Spaces</t>
  </si>
  <si>
    <t>GF</t>
  </si>
  <si>
    <t>FF</t>
  </si>
  <si>
    <t>SF</t>
  </si>
  <si>
    <t>TF</t>
  </si>
  <si>
    <t>All Retail to White Box Standard &amp; includes Aircon.</t>
  </si>
  <si>
    <t xml:space="preserve"> Unit V1 - Vacant</t>
  </si>
  <si>
    <t xml:space="preserve"> Unit V2 - Vacant</t>
  </si>
  <si>
    <t xml:space="preserve"> Unit V3 - Nando's</t>
  </si>
  <si>
    <t xml:space="preserve"> Unit V4 - Kung Fu</t>
  </si>
  <si>
    <t>Vue Cinema - Approximate</t>
  </si>
  <si>
    <t>Side Amenity</t>
  </si>
  <si>
    <t>Shared Amenity</t>
  </si>
  <si>
    <t>Total Sqft</t>
  </si>
  <si>
    <t>Amenity Area By Floor (sqft)</t>
  </si>
  <si>
    <t>*-</t>
  </si>
  <si>
    <t>Vue Cinema</t>
  </si>
  <si>
    <t>Secondary Semi-private Amenity</t>
  </si>
  <si>
    <t>Building/ Area</t>
  </si>
  <si>
    <t>GIA - PROPOSED</t>
  </si>
  <si>
    <t>GIA - EXISTING</t>
  </si>
  <si>
    <t xml:space="preserve">Concierge </t>
  </si>
  <si>
    <t>Stair Cores and Communal Areas</t>
  </si>
  <si>
    <t xml:space="preserve">Bin Stores </t>
  </si>
  <si>
    <t>Cinema</t>
  </si>
  <si>
    <t>Restaurant</t>
  </si>
  <si>
    <t>Total Residential</t>
  </si>
  <si>
    <t>Cinema - WORKS TO EXISTING</t>
  </si>
  <si>
    <t>Cinema -  EXISTING</t>
  </si>
  <si>
    <t xml:space="preserve">Total proposed retail </t>
  </si>
  <si>
    <t>Communal Corridors</t>
  </si>
  <si>
    <t>Plant Rooms</t>
  </si>
  <si>
    <t>Service Route</t>
  </si>
  <si>
    <t>Stores</t>
  </si>
  <si>
    <t xml:space="preserve">Ground Floor </t>
  </si>
  <si>
    <t>Level 1</t>
  </si>
  <si>
    <t>Level 2</t>
  </si>
  <si>
    <t>Restaurant -  EXISTING</t>
  </si>
  <si>
    <t>Restaurant - WORKS TO EXISTING</t>
  </si>
  <si>
    <t>sq.ft</t>
  </si>
  <si>
    <t>sq.m</t>
  </si>
  <si>
    <t>Existing GIA</t>
  </si>
  <si>
    <t>Proposed GIA</t>
  </si>
  <si>
    <t>Multi Storey Car Park</t>
  </si>
  <si>
    <t xml:space="preserve">First Floor </t>
  </si>
  <si>
    <t xml:space="preserve">Third Floor </t>
  </si>
  <si>
    <t>Ground Floor Vue Cinema Works To Existing (Breakdown)</t>
  </si>
  <si>
    <t>Vue Cinema Complete Area</t>
  </si>
  <si>
    <t>1B Studio</t>
  </si>
  <si>
    <t>M</t>
  </si>
  <si>
    <t>Total Residential (Inc. Ancillaries)</t>
  </si>
  <si>
    <t>(ii)</t>
  </si>
  <si>
    <t>(iii)</t>
  </si>
  <si>
    <t>(iv)</t>
  </si>
  <si>
    <t>Total Non Residential</t>
  </si>
  <si>
    <t>Exisiting Commercial</t>
  </si>
  <si>
    <t>Non-resi</t>
  </si>
  <si>
    <t>Total non resi</t>
  </si>
  <si>
    <t>Gross Internal Area to be Retained</t>
  </si>
  <si>
    <t>Gross internal area to be demolished</t>
  </si>
  <si>
    <t>Site GIA</t>
  </si>
  <si>
    <t>Grand Total</t>
  </si>
  <si>
    <t>V1</t>
  </si>
  <si>
    <t>V2</t>
  </si>
  <si>
    <t xml:space="preserve">Exisiting </t>
  </si>
  <si>
    <t>Proposed</t>
  </si>
  <si>
    <t>Sq.ft</t>
  </si>
  <si>
    <t>Sq.m</t>
  </si>
  <si>
    <t>Total Length (m):</t>
  </si>
  <si>
    <t>Plentys Place</t>
  </si>
  <si>
    <t>Smiths Yard</t>
  </si>
  <si>
    <t>0.6m High R1</t>
  </si>
  <si>
    <t>1.1m High R1</t>
  </si>
  <si>
    <t>0.6m High R2</t>
  </si>
  <si>
    <t>1.1m High R2</t>
  </si>
  <si>
    <t>0.6m High R3</t>
  </si>
  <si>
    <t>1.1m High R3</t>
  </si>
  <si>
    <t>0.6m High R4</t>
  </si>
  <si>
    <t>1.1m High R4</t>
  </si>
  <si>
    <t>0.6m High R5</t>
  </si>
  <si>
    <t>1.1m High R5</t>
  </si>
  <si>
    <t>0.6m High R6</t>
  </si>
  <si>
    <t>1.1m High R6</t>
  </si>
  <si>
    <t>0.6m High R7</t>
  </si>
  <si>
    <t>1.1m High R7</t>
  </si>
  <si>
    <t>0.6m High R8</t>
  </si>
  <si>
    <t>1.1m High R8</t>
  </si>
  <si>
    <t>0.6m High R9</t>
  </si>
  <si>
    <t>1.1m High R9</t>
  </si>
  <si>
    <t>Total:</t>
  </si>
  <si>
    <t>Railing Schedule: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</si>
  <si>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</si>
  <si>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</si>
  <si>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</si>
  <si>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</si>
  <si>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</si>
  <si>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</si>
  <si>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</si>
  <si>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</si>
  <si>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</si>
  <si>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</si>
  <si>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</si>
  <si>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Lantern Design 1</t>
  </si>
  <si>
    <t>Lantern Design 2</t>
  </si>
  <si>
    <t>Lantern Design 3</t>
  </si>
  <si>
    <t>Lantern Design 4</t>
  </si>
  <si>
    <t>Lantern Design 5</t>
  </si>
  <si>
    <t>Ornamental S Ironwork</t>
  </si>
  <si>
    <t>Alma Court, Ashton Ticket &amp; Ashton Court</t>
  </si>
  <si>
    <t>Victoria Court &amp; Edward House</t>
  </si>
  <si>
    <t>Locked Gate</t>
  </si>
  <si>
    <t>Locked Park Court Gate</t>
  </si>
  <si>
    <t>Ironmongery Schedule:</t>
  </si>
  <si>
    <t>Amenity per dwelling</t>
  </si>
  <si>
    <t>Amenity Accounted *</t>
  </si>
  <si>
    <t>* Columns included hatched in grey.</t>
  </si>
  <si>
    <t>Private Gated Multi-functional Amenity Space</t>
  </si>
  <si>
    <t>Coach House</t>
  </si>
  <si>
    <t>Total Residential GIA (sq.ft.):</t>
  </si>
  <si>
    <t>Total Proposed Commercial &amp; Concierge (sq.ft.):</t>
  </si>
  <si>
    <t>Total Gross (sq.ft.): Noted within Table 2.</t>
  </si>
  <si>
    <t xml:space="preserve">Total Amended Exisiting Commercial Floorspace (V1,V2, Nando's Kung Fu and Vue Cinema) Gross: </t>
  </si>
  <si>
    <t>Commercial - Retail 1-5</t>
  </si>
  <si>
    <t>Retail</t>
  </si>
  <si>
    <t>Super Total Residential &amp; Commerical GIA &amp; Gross (sq.ft.):</t>
  </si>
  <si>
    <t>Area per Category</t>
  </si>
  <si>
    <t>Enclosed Frontage Spill-out Space</t>
  </si>
  <si>
    <t>Typology:</t>
  </si>
  <si>
    <t>Internal GIA:</t>
  </si>
  <si>
    <t>Accommodation:</t>
  </si>
  <si>
    <t>Storeys:</t>
  </si>
  <si>
    <t>Car Parking:</t>
  </si>
  <si>
    <t>Private Amenity Sqft:</t>
  </si>
  <si>
    <t>sq.m:</t>
  </si>
  <si>
    <t>sq.ft:</t>
  </si>
  <si>
    <t>Artist's Mews (North)</t>
  </si>
  <si>
    <t>Artist's Mews ( South)</t>
  </si>
  <si>
    <t>Ashton Court &amp; Ashton Ticket</t>
  </si>
  <si>
    <t>General</t>
  </si>
  <si>
    <t>Maisonette</t>
  </si>
  <si>
    <t>2B3P</t>
  </si>
  <si>
    <t>3B4P</t>
  </si>
  <si>
    <t>2B4P</t>
  </si>
  <si>
    <t>4B7P</t>
  </si>
  <si>
    <t>1B2P</t>
  </si>
  <si>
    <t>3B5P</t>
  </si>
  <si>
    <t>4B6P</t>
  </si>
  <si>
    <t>4B5P</t>
  </si>
  <si>
    <t>4B8P</t>
  </si>
  <si>
    <t>3B6P</t>
  </si>
  <si>
    <t xml:space="preserve"> Old Town, Newbury </t>
  </si>
  <si>
    <t>Study</t>
  </si>
  <si>
    <t>Amenity Type:</t>
  </si>
  <si>
    <t>Garage Parking space.</t>
  </si>
  <si>
    <t>On-plot Allocated Parking</t>
  </si>
  <si>
    <t>On-site within MSCP</t>
  </si>
  <si>
    <t>EoT First Floor DM</t>
  </si>
  <si>
    <t>Semi-Detached First Floor DM</t>
  </si>
  <si>
    <t>EoT House</t>
  </si>
  <si>
    <t>MT House</t>
  </si>
  <si>
    <t>Specific Typology</t>
  </si>
  <si>
    <t>MT First Floor DM</t>
  </si>
  <si>
    <t>Semi-Detached House</t>
  </si>
  <si>
    <t>Detached House</t>
  </si>
  <si>
    <t>MT Coach House</t>
  </si>
  <si>
    <t>GF DM</t>
  </si>
  <si>
    <t>SF DM</t>
  </si>
  <si>
    <t>GF M</t>
  </si>
  <si>
    <t>FF F</t>
  </si>
  <si>
    <t>SF F</t>
  </si>
  <si>
    <t>SF DF</t>
  </si>
  <si>
    <t>TF F</t>
  </si>
  <si>
    <t>4F F</t>
  </si>
  <si>
    <t>5F F</t>
  </si>
  <si>
    <t>FF DF</t>
  </si>
  <si>
    <t>MT FF DM</t>
  </si>
  <si>
    <t>EoT FF DM</t>
  </si>
  <si>
    <t>EoT GF DM</t>
  </si>
  <si>
    <t>FF DM</t>
  </si>
  <si>
    <t>MT GF DM</t>
  </si>
  <si>
    <t>EoT GF M</t>
  </si>
  <si>
    <t>FF EoT DM</t>
  </si>
  <si>
    <t>SF MT M</t>
  </si>
  <si>
    <t>SF MT DM</t>
  </si>
  <si>
    <t>GF F</t>
  </si>
  <si>
    <t>TF DF</t>
  </si>
  <si>
    <t>GF DF</t>
  </si>
  <si>
    <t>FF M</t>
  </si>
  <si>
    <t>Total Private Amenity (sq.ft)</t>
  </si>
  <si>
    <t>Total Refurbished/Exisiting Commercial (Sq.ft)</t>
  </si>
  <si>
    <t>Commercial</t>
  </si>
  <si>
    <t>Residential</t>
  </si>
  <si>
    <t>Plot By Plot</t>
  </si>
  <si>
    <t>Summary Tables</t>
  </si>
  <si>
    <t>Proposed Commercial</t>
  </si>
  <si>
    <t>General Typology Summary</t>
  </si>
  <si>
    <t>Gross Area's</t>
  </si>
  <si>
    <t>EoT</t>
  </si>
  <si>
    <t>MT</t>
  </si>
  <si>
    <t>Detached</t>
  </si>
  <si>
    <t>Semi-detached</t>
  </si>
  <si>
    <t>Houses</t>
  </si>
  <si>
    <t>Total Residential GIA Coverage (sq.ft)</t>
  </si>
  <si>
    <t>Vacant and Refurbished Commercial</t>
  </si>
  <si>
    <t xml:space="preserve">Vacant </t>
  </si>
  <si>
    <t>(Excluding 8 integral Garages equating to 1841.7sq.ft).</t>
  </si>
  <si>
    <t xml:space="preserve">All Retail to White Box Standard &amp; includes Aircon.  </t>
  </si>
  <si>
    <t>Concierge to include: Kitchenette, Parcel Room, Meeting Room, Gym</t>
  </si>
  <si>
    <t>Sub-total Proposed GIA Commercial (Sq.ft)</t>
  </si>
  <si>
    <t>Old Town Total Coverage (Sq.ft) (Residential + Proposed Commercial+ Concierge)</t>
  </si>
  <si>
    <t>GIA Area's</t>
  </si>
  <si>
    <t>TOTAL GIA</t>
  </si>
  <si>
    <t>Gross Area</t>
  </si>
  <si>
    <t>(sq.m)</t>
  </si>
  <si>
    <t>(sq.ft)</t>
  </si>
  <si>
    <t>Residential Gross Area</t>
  </si>
  <si>
    <t>Old Town Total Gross (Sq.ft) (Residential + Proposed Commercial+ Concierge)</t>
  </si>
  <si>
    <t>Residential Gross + GIA</t>
  </si>
  <si>
    <t xml:space="preserve"> Residential Gross Area </t>
  </si>
  <si>
    <t>Garages (total of 8)</t>
  </si>
  <si>
    <t>P l o t - b y - P l o t   D w e l l I n g   I n f o r m a t i o n .</t>
  </si>
  <si>
    <t>Dated: November 2025</t>
  </si>
  <si>
    <t>Amenity:</t>
  </si>
  <si>
    <t>Description:</t>
  </si>
  <si>
    <t>Opportunity to rent/purchase a space in the on-site MSCP.</t>
  </si>
  <si>
    <t>Private Roof Terrace and access to shared private courtyard.</t>
  </si>
  <si>
    <t>South facing roof terrace, fenestration overlooking Bartholomew Street.</t>
  </si>
  <si>
    <t>1 Allocated space on Site in Victoria Court.</t>
  </si>
  <si>
    <t>Frontage Amenity and access to shared private courtyard.</t>
  </si>
  <si>
    <t>South facing fenestration overlooking the shared private courtyard.</t>
  </si>
  <si>
    <t>En-suite to Bedroom 1. South facing fenestration overlooking the shared private courtyard.</t>
  </si>
  <si>
    <t>Private Front Garden and access to shared private courtyard.</t>
  </si>
  <si>
    <t>Seterate Study. Fenestration overlooking the shared private courtyard.</t>
  </si>
  <si>
    <t>Separate Study. South facing fenestration overlooking the shared private courtyard.</t>
  </si>
  <si>
    <t>Private Roof Terrace, private Front Garden and access to shared private courtyard.</t>
  </si>
  <si>
    <t>En-Suite to bedroom 1. South facing fenestration overlooking the shared private courtyard.</t>
  </si>
  <si>
    <t>South facing roof terrace, fenestration overlooking Market Place.</t>
  </si>
  <si>
    <t>Study Area. South facing roof terrace, fenestration overlooking Market Place.</t>
  </si>
  <si>
    <t>Two roof terraces, fenestration overlooking Market Place.</t>
  </si>
  <si>
    <t>Fenestration overlooking the shared private courtyard.</t>
  </si>
  <si>
    <t>Roof terrace and fenestration overlooking the shared private courtyard.</t>
  </si>
  <si>
    <t>Separate Study. Fenestration overlooking the shared private courtyard.</t>
  </si>
  <si>
    <t>Private Roof Terrace, frontage amenity and access to shared private courtyard.</t>
  </si>
  <si>
    <t>Separate Study. Dual fronted overlooking the shared private courtyard.</t>
  </si>
  <si>
    <t>Community Amenity and access to shared private courtyard.</t>
  </si>
  <si>
    <t>Fenestration overlooking Bartholomew Street.</t>
  </si>
  <si>
    <t>Study Area, South facing roof terrace, fenestration overlooking Bartholomew Street.</t>
  </si>
  <si>
    <t>En-suite to bedroom 1, fenestration overlooking Bartholomew Street.</t>
  </si>
  <si>
    <t>Separate Study. En-suites to bedrooms 1 and 2, Dresser to bedroom 1, fenestration overlooking the shared private courtyard.</t>
  </si>
  <si>
    <t>Jack and Jill Bathroom to bedroom 1, fenestration overlooking Bartholomew Street.</t>
  </si>
  <si>
    <t>Jack and Jill Bathroom to bedroom 1, South facing fenestration overlooking the shared private courtyard.</t>
  </si>
  <si>
    <t>Private Balcony and access to shared private courtyard.</t>
  </si>
  <si>
    <t>Dresser to bedroom 1, Fenestration overlooking shared courtyard.</t>
  </si>
  <si>
    <t>Jack and Jill Bathrooms to bedrooms 1 and 2, fenestration overlooking shared private courtyard.</t>
  </si>
  <si>
    <t>Separate Kitchen; Dining/Family Room; Lounge; Study. Fenestration overlooking shared private courtyard.</t>
  </si>
  <si>
    <t>Shared Garden and access to shared private courtyard.</t>
  </si>
  <si>
    <t xml:space="preserve">Jack and Jill Bathroom to Bedroom 1, Study Area. South facing fenestration overlooking shared garden. </t>
  </si>
  <si>
    <t>Private Roof Terrace, Shared Garden and access to shared private courtyard.</t>
  </si>
  <si>
    <t>Jack and Jill Bathroom to Bedroom 1, Study Area. Fenestration overlooking shared private courtyard.</t>
  </si>
  <si>
    <t>Jack and Jill Bathroom to Bedroom 1, fenestration overlooking shared private courtyard.</t>
  </si>
  <si>
    <t>Jack and Jill Bathroom to Bedroom 2, fenestration overlooking the shared private courtyard.</t>
  </si>
  <si>
    <t>En-suite and Dresser to bedroom 1, Study Area. Fenestration overlooking Bartholomew Street.</t>
  </si>
  <si>
    <t>Community Amenity and access to semi private courtyard.</t>
  </si>
  <si>
    <t>Dresser to bedroom 1, fenestration overlooking Bartholomew Street.</t>
  </si>
  <si>
    <t>Jack and Jill Bathroom to bedroom 2, fenestration overlooking Bartholomew Street.</t>
  </si>
  <si>
    <t>Private Roof Terrace and acces to semi private courtyard.</t>
  </si>
  <si>
    <t>Separate Study; Familiy Room. En-suite to bedroom 1, South facing fenestration.</t>
  </si>
  <si>
    <t>Separate Lounge. South facing fenestration.</t>
  </si>
  <si>
    <t>En-suites to bedrooms 1 and 2, Dresser to bedroom 1, South facing fenestration.</t>
  </si>
  <si>
    <t xml:space="preserve">Shared Garden and access to semi private courtyard. </t>
  </si>
  <si>
    <t>En-suite and Dresser to bedroom 1, South facing fenestration.</t>
  </si>
  <si>
    <t>Private Rear Garden and access to semi private courtyard.</t>
  </si>
  <si>
    <t>Study Area. Jack and Jill Bathroom to bedroom 1.</t>
  </si>
  <si>
    <t>1 Allocated on Plot space.</t>
  </si>
  <si>
    <t xml:space="preserve">Reception Room in semi-basement, fenestration overlooking semi private courtyard. </t>
  </si>
  <si>
    <t>Separate Study. En-suite to bedroom 1.</t>
  </si>
  <si>
    <t>Separate Lounge.</t>
  </si>
  <si>
    <t>Study Area. Dresser to bedroom 1, Jack and Jill Bathroom to bedroom 2. Fenestration overlooking Bartholomew Street.</t>
  </si>
  <si>
    <t>Study Area. Jack and Jill Bathroom to bedroom 2, fenestration overlooking Bartholomew Street.</t>
  </si>
  <si>
    <t>Frontage Amenity and access to semi private courtyard.</t>
  </si>
  <si>
    <t>Separate Lounge. Fenestration overlooking Bartholomew Street.</t>
  </si>
  <si>
    <t>Study Area. Daul fronted, fenestration overlooking Bartholomew Street.</t>
  </si>
  <si>
    <t>Study Area. En-suite to bedroom 1, Dresser to bedroom 2. Daul fronted, fenestration overlooking Bartholomew Street.</t>
  </si>
  <si>
    <t>Private Roof Terrace, Frontage Amenity and access to semi private courtyard.</t>
  </si>
  <si>
    <t>Separate Lounge. South facing roof terrace and fenestration.</t>
  </si>
  <si>
    <t>Private Front Garden, Roof Terrace and access to semi private courtyard.</t>
  </si>
  <si>
    <t>Separate Kitchen, Study Area. En-suite to bedroom 1.</t>
  </si>
  <si>
    <t>Jack and Jill Bathroom to bedroom 1.</t>
  </si>
  <si>
    <t>Private Roof Terrace, Private Front Garden and access to semi private courtyard.</t>
  </si>
  <si>
    <t>Separate Study.</t>
  </si>
  <si>
    <t>Private Balcony, Private rear Garden, Private Front Garden and access to semi private courtyard.</t>
  </si>
  <si>
    <t>En-suite to bedroom 1.</t>
  </si>
  <si>
    <t>Private Front Garden and access to semi private courtyard.</t>
  </si>
  <si>
    <t>Jack and Jill Bathroom to bedroom 2.</t>
  </si>
  <si>
    <t>Jack and Jill Bathroom to bedroom 3.</t>
  </si>
  <si>
    <t>Study Area. Fenestration overlooking Bartholomew Street.</t>
  </si>
  <si>
    <t>Jack and Jill bathroom to bedroom 2, fenestration overlooking Bartholomew Street.</t>
  </si>
  <si>
    <t>Separate Lounge with a Study Area. Daul access, fenestration overlooking Bartholomew Street.</t>
  </si>
  <si>
    <t>En-suite to bedroom 1, fenestration overlooking semi private courtyard.</t>
  </si>
  <si>
    <t>Private Balcony, Private Front Garden and access to semi private courtyard.</t>
  </si>
  <si>
    <t>En-suite and Dresser to bedroom 1, fenestration overlooking public main mews street.</t>
  </si>
  <si>
    <t>Private Front and Rear Gardens, and access to semi private courtyard.</t>
  </si>
  <si>
    <t>Separate Study. En-suite to bedroom 1, Jack and Jill Bathroom to bedroom 3, South facing fenestration.</t>
  </si>
  <si>
    <t>Study Area. Jack and Jill Bathrooms to bedrooms 1 and 2, South facing fenestration.</t>
  </si>
  <si>
    <t>Jack and Jill Bathrooms to bedrooms 1 and 2, South facing fenestration.</t>
  </si>
  <si>
    <t>Jack and Jill Bathrooms to bedrooms 1 and 2, South facing fenestration. Study area in lounge.</t>
  </si>
  <si>
    <t>Separate Lounge with Study Area.</t>
  </si>
  <si>
    <t>Frontage and Side Amenity and access to semi private courtyard.</t>
  </si>
  <si>
    <t>Separate Lounge with Study Area. Jack and Jill Shower Room to bedroom 2.</t>
  </si>
  <si>
    <t>Jack and Jill Bathroom to bedroom 2, fenestration overlooking semi private courtyard.</t>
  </si>
  <si>
    <t>Private Roof Terrace, Frontage and Side Amenity and access to semi private courtyard.</t>
  </si>
  <si>
    <t>Jack and Jill Bathroom to bedroom 1, fenestration overlooking semi private courtyard.</t>
  </si>
  <si>
    <t>Private Front Garden, and access to semi private courtyard.</t>
  </si>
  <si>
    <t>Sperate Study; Family Room. En-suites to bedroom 1 and 2, fenestration overlooking semi private courtyard.</t>
  </si>
  <si>
    <t>Garage Packing space.</t>
  </si>
  <si>
    <t xml:space="preserve">South facing roof terrace and fenestration. </t>
  </si>
  <si>
    <t>En-suite to bedroom 1, Jack and Jill Bathroom to bedroom 2.</t>
  </si>
  <si>
    <t>1 Allocated space on Site in Iron Yard.</t>
  </si>
  <si>
    <t>Private Roof Terrace and access to semi private courtyard.</t>
  </si>
  <si>
    <t>Separate Lounge with a Study Area. South facing roof terrace and fenestration overlooking a semi private courtyard.</t>
  </si>
  <si>
    <t>Study Area. En-suite to bedroom 1.</t>
  </si>
  <si>
    <t>Separate Lounge with Study Area. Ensuite to bedroom 1, Jack and Jill Bathroom to bedroom 2.</t>
  </si>
  <si>
    <t>Private Front Garden and access to public main mews street.</t>
  </si>
  <si>
    <t xml:space="preserve">Separate Lounge with Study Area. Jack and Jill Bathroom to bedroom 2, South facing fenestration. </t>
  </si>
  <si>
    <t>Separate Study. En-suite and Dresser to bedroom 1, Dresser to bedroom 2.</t>
  </si>
  <si>
    <t>Jack and Jill Bathroom to bedroom 2, South facing fenestration.</t>
  </si>
  <si>
    <t>Study Area. Jack and Jill Bathroom to bedroom 1, South facing roof terrace and fenestration.</t>
  </si>
  <si>
    <t>Separate Study. En-suite to bedroom 1, Jack and Jill Bathroom to bedroom 2, fenestration overlooking Cheap Street.</t>
  </si>
  <si>
    <t>Private Balconies and access to semi private courtyard.</t>
  </si>
  <si>
    <t>Study Area. Jack and Jill Bathroom to bedroom 1, fenestration overlooking Cheap Street.</t>
  </si>
  <si>
    <t>Study Area. Jack and Jill Bathroom to bedroom 1, South facing roof terrace.</t>
  </si>
  <si>
    <t>En-suite to bedroom 1, South facing fenestration.</t>
  </si>
  <si>
    <t>Jack and Jill Bathrooms to bedrooms 1 and 2, fenestration overlooking semi private courtyard.</t>
  </si>
  <si>
    <t>Jack and Jill Bathroom to bedroom 2, South facing fenestration overlooking semi private courtyard.</t>
  </si>
  <si>
    <t>Jack and Jill Bathroom to bedroom 2, South facing roof terrace and fenestration overlooking semi private courtyard.</t>
  </si>
  <si>
    <t>Private Roof Terrace, Private Balcony and access to semi private courtyard.</t>
  </si>
  <si>
    <t>En-suites to bedrooms 1 and 2, Dresser to bedroom 1, jack and Jill Bathroom to bedroom 3, South facing balcony, fenestration overlooking semi private courtyard.</t>
  </si>
  <si>
    <t>Jack and Jill to bedroom 1, South facing fenestration overlooking semi private courtyard.</t>
  </si>
  <si>
    <t>Private Balcony, Shared Garden and access to semi private courtyard.</t>
  </si>
  <si>
    <t>Study Area. South facing balcony and fenestration overlooking shared garden.</t>
  </si>
  <si>
    <t>Shared Garden and access to semi priavte courtyard.</t>
  </si>
  <si>
    <t>En-suite to bedroom 1, Jack and Jill Bathroom to bedroom 2, South facing fenestration overlooking shared garden.</t>
  </si>
  <si>
    <t>Seperate Study. En-suite to bedroom, fenestration overlooking shared garden.</t>
  </si>
  <si>
    <t>Balcony and accesss to semi private courtyard.</t>
  </si>
  <si>
    <t>Study Area Daul Aspect allowing a lot of light into the plot.</t>
  </si>
  <si>
    <t>Jack and Jill bathroom to bedroom 1, South facing fenestration.</t>
  </si>
  <si>
    <t>Private Roof Terrace and accesss to semi private courtyard.</t>
  </si>
  <si>
    <t>Separate Lounge with Study Area. South facing Roof Terrace, fenestration overlooking Cheap Street.</t>
  </si>
  <si>
    <t>Separate Lounge with Study Area. Fenestration overlooking Cheap Street.</t>
  </si>
  <si>
    <t>Separate Lounge with Study Area. Fenestration overlooking Market place.</t>
  </si>
  <si>
    <t>Separate Lounge with Study Area. Jack and Jill Bathroom to bedroom 2, fenestration overlooking Market Place.</t>
  </si>
  <si>
    <t>Separate Lounge. Jack and Jill Bathroom and Dresser to bedroom 1, fenestration overlooking Market Place.</t>
  </si>
  <si>
    <t>Shared Garden and access to public main mews street.</t>
  </si>
  <si>
    <t>Jack and Jill Bathroom to bedroom 1, fenestration overlooking Cheap Street.</t>
  </si>
  <si>
    <t>Private Balcony and access to public main mews street.</t>
  </si>
  <si>
    <t>Jack and Jill Bathroom to bedroom 1, fenestration overlooking Plenty's Place.</t>
  </si>
  <si>
    <t>Jack and Jill Bathroom to bedroom 2, fenestration overlooking Plenty's Place.</t>
  </si>
  <si>
    <t>Comumunity Amenity and access to public main mews street.</t>
  </si>
  <si>
    <t>Fenestration overlooking Plenty's Place.</t>
  </si>
  <si>
    <t>Private Roof Terrace and access to public main mews street.</t>
  </si>
  <si>
    <t>En-suite to bedroom 1, denestration overlooking Plenty's Place.</t>
  </si>
  <si>
    <t>Study Area. Jack and Jill Bathroom to bedroom 2, fenestration overlooking Plenty's Place.</t>
  </si>
  <si>
    <t>Study Area. Fenestration overlooking Plenty's Place.</t>
  </si>
  <si>
    <t>Private Rear Garden and access to shared private courtyard.</t>
  </si>
  <si>
    <t>South facing Rear Garden. Jack and Jill Bathroom to bedroom 1, fenestration overlooking Plenty's Place.</t>
  </si>
  <si>
    <t>South facing Balcony. Study Area. Jack and Jill Bathroom to bedroom 1, fenestration overlooking Plenty's Place.</t>
  </si>
  <si>
    <t>South facing Balcony. Jack and Jill Bathroom to bedroom 1, fenestration overlooking Plenty's Place.</t>
  </si>
  <si>
    <t>Study Area. Daul Frontage, fenestration overlooking Plenty's Place.</t>
  </si>
  <si>
    <t>Study Area. Jack and Jill Bathroom to bedroom 1, fenestration overlooking Plenty's Place.</t>
  </si>
  <si>
    <t>Private Rear Garden, Frontage Amenity and access to shared private courtyard.</t>
  </si>
  <si>
    <t>Study Area. Daul Fronted fenestration overlooking Plenty's Place and Market Street.</t>
  </si>
  <si>
    <t>Study Area. South facing fenestration overlooking Market Street.</t>
  </si>
  <si>
    <t>South facing fenestration overlooking Market Street.</t>
  </si>
  <si>
    <t>Jack and Jill Bathroom to bedroom 1, fenestration overlooking shared private courtyard.</t>
  </si>
  <si>
    <t>Study Area. Jack and Jill Bathroom to bedroom 1, fenestration overlooking shared private courtyard.</t>
  </si>
  <si>
    <t>Daul Fronted. South facing fenestrtion overlooking Market Street.</t>
  </si>
  <si>
    <t>Daul Fronted. Study Area. Jack and Jill Bathroom to bedroom 1, South facing fenestrtion overlooking Market Street.</t>
  </si>
  <si>
    <t>Private Balcony and access to semi private courtyard.</t>
  </si>
  <si>
    <t xml:space="preserve"> Study Area. Fenestration overlooking Plenty's Place.</t>
  </si>
  <si>
    <t>Daul Fronted. Jack and Jill Bathroom to bedroom 1, South facing fenestrtion overlooking Market Street.</t>
  </si>
  <si>
    <t>Jack and Jill Bathroom to bedroom 1, South facing fenestrtion overlooking Market Street.</t>
  </si>
  <si>
    <t xml:space="preserve"> Study Area. Jack and Jill Bathroom to bedroom 1.</t>
  </si>
  <si>
    <t>Private Balcony.</t>
  </si>
  <si>
    <t xml:space="preserve"> Study Area. Jack and Jill Bathroom to bedroom 1, South facing fenestrtion overlooking Market Street.</t>
  </si>
  <si>
    <t>Jack and Jill Bathroom to bedroom 1, South facing fenestration.</t>
  </si>
  <si>
    <t>Study Area. Jack and Jill Bathroom to bedroom 1, fenestration overlooking semi private courtyard.</t>
  </si>
  <si>
    <t>Separate Study. Jack and Jill Bathroom to bedroom 1, South facing Roof Terrace and fenestration.</t>
  </si>
  <si>
    <t>Separate Study. Jack and Jill Bathroom to bedroom 1, South facing Roof Terrace.</t>
  </si>
  <si>
    <t>Jack and Jill Bathroom to bedroom 1, South facing Balcony and fenestration.</t>
  </si>
  <si>
    <t>Jack and Jill Bathroom to bedroom 1, South facing balcony and fenestration.</t>
  </si>
  <si>
    <t>Separate lounge. Fenestration overlooking semi private courtyard.</t>
  </si>
  <si>
    <t>Private Balcony and access to semi priuvate courtyard.</t>
  </si>
  <si>
    <t xml:space="preserve"> Study Area. Dresser to bedroom 1, fenestration overlooking Plenty's Place.</t>
  </si>
  <si>
    <t>Private Roof Terrace and Frontage Amenity and access to semi private courtyard.</t>
  </si>
  <si>
    <t>Jack and Jill Bathroom to bedroom 1, South facing Roof Terrace and fenestration.</t>
  </si>
  <si>
    <t>En-suite to bedroom 1, Jack and Jill Bathroom to bedroom 2, fenestration overlooking Plenty's Place.</t>
  </si>
  <si>
    <t>Shared Roof Terrace and access to semi private courtyard.</t>
  </si>
  <si>
    <t>Shared Roof Terrace and access to public main mews street.</t>
  </si>
  <si>
    <t>Private Front Garden, and access to public main mews street.</t>
  </si>
  <si>
    <t>Private Roof Terrace and Frontage Amenity and access to shared private courtyard.</t>
  </si>
  <si>
    <t>Private Balcony and accesss to shared private courtyard.</t>
  </si>
  <si>
    <t>Modular Bathroom Schedule.</t>
  </si>
  <si>
    <t>Module Type</t>
  </si>
  <si>
    <t>Necessary Amendments to internal layout:</t>
  </si>
  <si>
    <t>M2.1</t>
  </si>
  <si>
    <t>Depth of bathroom needs to get bigger to reach a 2m depth. Consequently, push bed 1's wall adjacent to the living out to retain a NDSS compliant double bedroom area.</t>
  </si>
  <si>
    <t>M1.1</t>
  </si>
  <si>
    <t>N/A</t>
  </si>
  <si>
    <t>Reduce width of the bath by 300mm, giving more space in the store.</t>
  </si>
  <si>
    <t xml:space="preserve"> Victoria Court</t>
  </si>
  <si>
    <t xml:space="preserve">Ashton Court </t>
  </si>
  <si>
    <t>M1</t>
  </si>
  <si>
    <t>M3</t>
  </si>
  <si>
    <t xml:space="preserve"> En-suite only.</t>
  </si>
  <si>
    <t>Move wall shared by the bath and bed 1 to achieve a 2.2m width bathroom, giving more floor area to Bed 1.</t>
  </si>
  <si>
    <t>Add Vanity and make 3mm wider.</t>
  </si>
  <si>
    <t>Increase depth &amp; reduce width to achieve 2x2.63m bathroom. Consequently, push bed 1's wall adjacent to the living out to retain a NDSS compliant double bedroom area.</t>
  </si>
  <si>
    <t>Reduce width of the bath to 2.2m.</t>
  </si>
  <si>
    <t>Remove L shape bath with M1 module, making the store larger with double door access from the living space. Rearrange the lounge and dining to work with these changes.</t>
  </si>
  <si>
    <t>Reduce width of the bath by 570mm &amp; rearrange the bath layout to comply with M2.1</t>
  </si>
  <si>
    <t>Bespoke</t>
  </si>
  <si>
    <t>Rearrange the layout of the bathroom to comply with M2.1 and reduce the width to 2.63m, giving more storage space.</t>
  </si>
  <si>
    <t>Reduce depth of the bath by 53mm.</t>
  </si>
  <si>
    <t xml:space="preserve">Reduce width by 353mm by moving the stairs along one tred. </t>
  </si>
  <si>
    <t>M1.2</t>
  </si>
  <si>
    <t>M2</t>
  </si>
  <si>
    <t xml:space="preserve">Bath will become smaller to achieve dimensions 2x 2.2m, gaining more area in bed 1. Rearrange the layout of the bathroom to comply M2. </t>
  </si>
  <si>
    <t>Reduce width of the bath by 50mm.</t>
  </si>
  <si>
    <t>Reduce the depth of the bath by 45mm</t>
  </si>
  <si>
    <t>Reduce depth of the bath by 200mm, giving more floor area to bed 1. Replace Pocket door with standard 838leaf door.</t>
  </si>
  <si>
    <t>M4</t>
  </si>
  <si>
    <t>Reduce depth of the bath by 200mm, making the store larger.</t>
  </si>
  <si>
    <t>Reduce width of the bath to 2.2m. Hand bed 1 and 2 so the jack and jill serves bed1.</t>
  </si>
  <si>
    <t xml:space="preserve">Reduce depth of the bath to 2m. </t>
  </si>
  <si>
    <t xml:space="preserve">Reduce width of the bathroom by 225mm, giving more floor area to bed1. </t>
  </si>
  <si>
    <t>Reduce width of the bath by 136mm, gaining more space in the store.</t>
  </si>
  <si>
    <t>Add Vanity and reduce width by 310mm, increasing store space.</t>
  </si>
  <si>
    <t>Move wall shared by the bath and bed 1 to achieve a 2.2m width bathroom, giving more floor area to bed 1.</t>
  </si>
  <si>
    <t>Add vanity and reduce width by 310mm, increasing store space.</t>
  </si>
  <si>
    <t xml:space="preserve">    </t>
  </si>
  <si>
    <t>Modular Bathroom Summary</t>
  </si>
  <si>
    <t>Court Yard:</t>
  </si>
  <si>
    <t xml:space="preserve">Module Types </t>
  </si>
  <si>
    <t>Victoria Court</t>
  </si>
  <si>
    <t>Ashton Court</t>
  </si>
  <si>
    <t xml:space="preserve">Bespoke </t>
  </si>
  <si>
    <t>Module 1</t>
  </si>
  <si>
    <t>Module 1 Total</t>
  </si>
  <si>
    <t>Module 2</t>
  </si>
  <si>
    <t>Module 2 Total</t>
  </si>
  <si>
    <t>Module 3</t>
  </si>
  <si>
    <t>Module 4</t>
  </si>
  <si>
    <t>TOTAL N0. 0f MODULAR BATHROOMS</t>
  </si>
  <si>
    <t>Proposed Commercial GIA  (5 Retail Units)</t>
  </si>
  <si>
    <t>TOTAL GROSS</t>
  </si>
  <si>
    <t>GIA + Gross Area</t>
  </si>
  <si>
    <t xml:space="preserve">Total Residential Area </t>
  </si>
  <si>
    <t>Total Commercial + Concierge</t>
  </si>
  <si>
    <t>Proposed Residential GIA (317 units)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</si>
</sst>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42" x14ac:knownFonts="1">
    <font>
      <sz val="11"/>
      <color theme="1"/>
      <name val="Calibri"/>
      <family val="2"/>
      <scheme val="minor"/>
    </font>
    <font>
      <sz val="9"/>
      <color theme="1"/>
      <name val="Trebuchet MS"/>
      <family val="2"/>
    </font>
    <font>
      <sz val="9"/>
      <color theme="1"/>
      <name val="Trebuchet MS"/>
      <family val="2"/>
    </font>
    <font>
      <b/>
      <u/>
      <sz val="9"/>
      <color theme="1"/>
      <name val="Trebuchet MS"/>
      <family val="2"/>
    </font>
    <font>
      <b/>
      <u/>
      <sz val="14"/>
      <color theme="1"/>
      <name val="Trebuchet MS"/>
      <family val="2"/>
    </font>
    <font>
      <b/>
      <sz val="9"/>
      <color theme="1"/>
      <name val="Trebuchet MS"/>
      <family val="2"/>
    </font>
    <font>
      <sz val="11"/>
      <color theme="1"/>
      <name val="Trebuchet MS"/>
      <family val="2"/>
    </font>
    <font>
      <sz val="11"/>
      <color rgb="FFFF0000"/>
      <name val="Trebuchet MS"/>
      <family val="2"/>
    </font>
    <font>
      <sz val="8"/>
      <name val="Calibri"/>
      <family val="2"/>
      <scheme val="minor"/>
    </font>
    <font>
      <sz val="9"/>
      <name val="Trebuchet MS"/>
      <family val="2"/>
    </font>
    <font>
      <sz val="9"/>
      <color rgb="FFFF0000"/>
      <name val="Trebuchet MS"/>
      <family val="2"/>
    </font>
    <font>
      <sz val="11"/>
      <color theme="1"/>
      <name val="Calibri"/>
      <family val="2"/>
      <scheme val="minor"/>
    </font>
    <font>
      <sz val="11"/>
      <name val="Trebuchet MS"/>
      <family val="2"/>
    </font>
    <font>
      <b/>
      <u/>
      <sz val="11"/>
      <color theme="1"/>
      <name val="Trebuchet MS"/>
      <family val="2"/>
    </font>
    <font>
      <b/>
      <sz val="10"/>
      <color theme="1"/>
      <name val="Trebuchet MS"/>
      <family val="2"/>
    </font>
    <font>
      <sz val="9"/>
      <color theme="0" tint="-0.499984740745262"/>
      <name val="Trebuchet MS"/>
      <family val="2"/>
    </font>
    <font>
      <b/>
      <sz val="9"/>
      <color rgb="FFFF0000"/>
      <name val="Trebuchet MS"/>
      <family val="2"/>
    </font>
    <font>
      <sz val="11"/>
      <name val="Ubuntu Mono"/>
      <family val="3"/>
    </font>
    <font>
      <sz val="11"/>
      <color rgb="FFFF0000"/>
      <name val="Calibri"/>
      <family val="2"/>
      <scheme val="minor"/>
    </font>
    <font>
      <sz val="9"/>
      <color rgb="FF0070C0"/>
      <name val="Trebuchet MS"/>
      <family val="2"/>
    </font>
    <font>
      <b/>
      <sz val="11"/>
      <color theme="1"/>
      <name val="Trebuchet MS"/>
      <family val="2"/>
    </font>
    <font>
      <sz val="8"/>
      <color theme="1"/>
      <name val="Trebuchet MS"/>
      <family val="2"/>
    </font>
    <font>
      <b/>
      <sz val="11"/>
      <color theme="1"/>
      <name val="Calibri"/>
      <family val="2"/>
      <scheme val="minor"/>
    </font>
    <font>
      <sz val="15"/>
      <color theme="1"/>
      <name val="Trebuchet MS"/>
      <family val="2"/>
    </font>
    <font>
      <sz val="9"/>
      <color theme="5"/>
      <name val="Trebuchet MS"/>
      <family val="2"/>
    </font>
    <font>
      <sz val="9"/>
      <color rgb="FF002060"/>
      <name val="Trebuchet MS"/>
      <family val="2"/>
    </font>
    <font>
      <b/>
      <sz val="9"/>
      <name val="Trebuchet MS"/>
      <family val="2"/>
    </font>
    <font>
      <sz val="10"/>
      <color theme="1"/>
      <name val="Trebuchet MS"/>
      <family val="2"/>
    </font>
    <font>
      <b/>
      <u val="double"/>
      <sz val="9"/>
      <color theme="1"/>
      <name val="Trebuchet MS"/>
      <family val="2"/>
    </font>
    <font>
      <b/>
      <sz val="10"/>
      <name val="Trebuchet MS"/>
      <family val="2"/>
    </font>
    <font>
      <b/>
      <u val="double"/>
      <sz val="10"/>
      <color theme="1"/>
      <name val="Trebuchet MS"/>
      <family val="2"/>
    </font>
    <font>
      <sz val="9"/>
      <color theme="0"/>
      <name val="Trebuchet MS"/>
      <family val="2"/>
    </font>
    <font>
      <b/>
      <sz val="11"/>
      <name val="Trebuchet M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9"/>
      <color theme="1"/>
      <name val="Trebuchet MS"/>
      <family val="2"/>
    </font>
    <font>
      <b/>
      <sz val="14"/>
      <color theme="1"/>
      <name val="Trebuchet MS"/>
      <family val="2"/>
    </font>
    <font>
      <sz val="12"/>
      <color theme="1"/>
      <name val="Trebuchet MS"/>
      <family val="2"/>
    </font>
    <font>
      <sz val="18"/>
      <color theme="1"/>
      <name val="Trebuchet MS"/>
      <family val="2"/>
    </font>
    <font>
      <b/>
      <u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9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8E4F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BF5E8"/>
        <bgColor indexed="64"/>
      </patternFill>
    </fill>
  </fills>
  <borders count="32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ashed">
        <color indexed="64"/>
      </bottom>
      <diagonal/>
    </border>
    <border>
      <left/>
      <right style="hair">
        <color indexed="64"/>
      </right>
      <top style="hair">
        <color indexed="64"/>
      </top>
      <bottom style="dashed">
        <color indexed="64"/>
      </bottom>
      <diagonal/>
    </border>
    <border>
      <left/>
      <right style="medium">
        <color indexed="64"/>
      </right>
      <top style="hair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dashed">
        <color theme="0" tint="-0.34998626667073579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ashed">
        <color theme="0" tint="-0.34998626667073579"/>
      </bottom>
      <diagonal/>
    </border>
    <border>
      <left style="hair">
        <color indexed="64"/>
      </left>
      <right style="medium">
        <color indexed="64"/>
      </right>
      <top style="dashed">
        <color theme="0" tint="-0.34998626667073579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43" fontId="11" fillId="0" borderId="0" applyFont="0" applyFill="0" applyBorder="0" applyAlignment="0" applyProtection="0"/>
    <xf numFmtId="0" fontId="1" fillId="0" borderId="0"/>
  </cellStyleXfs>
  <cellXfs count="1697">
    <xf numFmtId="0" fontId="0" fillId="0" borderId="0" xfId="0"/>
    <xf numFmtId="0" fontId="3" fillId="3" borderId="26" xfId="1" applyFont="1" applyFill="1" applyBorder="1" applyAlignment="1">
      <alignment horizontal="center" vertical="center" wrapText="1"/>
    </xf>
    <xf numFmtId="0" fontId="6" fillId="0" borderId="0" xfId="0" applyFont="1"/>
    <xf numFmtId="0" fontId="2" fillId="3" borderId="29" xfId="1" applyFill="1" applyBorder="1" applyAlignment="1">
      <alignment horizontal="center" vertical="center"/>
    </xf>
    <xf numFmtId="0" fontId="2" fillId="3" borderId="27" xfId="1" applyFill="1" applyBorder="1" applyAlignment="1">
      <alignment horizontal="center" vertical="center"/>
    </xf>
    <xf numFmtId="0" fontId="2" fillId="3" borderId="30" xfId="1" applyFill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2" fillId="2" borderId="8" xfId="1" applyFill="1" applyBorder="1" applyAlignment="1">
      <alignment horizontal="center" vertical="center" wrapText="1"/>
    </xf>
    <xf numFmtId="3" fontId="2" fillId="2" borderId="10" xfId="1" applyNumberFormat="1" applyFill="1" applyBorder="1" applyAlignment="1">
      <alignment horizontal="center" vertical="center"/>
    </xf>
    <xf numFmtId="9" fontId="2" fillId="0" borderId="22" xfId="1" applyNumberFormat="1" applyBorder="1" applyAlignment="1">
      <alignment horizontal="center" vertical="center"/>
    </xf>
    <xf numFmtId="9" fontId="2" fillId="0" borderId="17" xfId="1" applyNumberFormat="1" applyBorder="1" applyAlignment="1">
      <alignment horizontal="center" vertical="center"/>
    </xf>
    <xf numFmtId="9" fontId="2" fillId="0" borderId="23" xfId="1" applyNumberFormat="1" applyBorder="1" applyAlignment="1">
      <alignment horizontal="center" vertical="center"/>
    </xf>
    <xf numFmtId="0" fontId="2" fillId="2" borderId="18" xfId="1" applyFill="1" applyBorder="1" applyAlignment="1">
      <alignment horizontal="center" vertical="center"/>
    </xf>
    <xf numFmtId="0" fontId="2" fillId="2" borderId="9" xfId="1" applyFill="1" applyBorder="1" applyAlignment="1">
      <alignment horizontal="center" vertical="center"/>
    </xf>
    <xf numFmtId="0" fontId="2" fillId="2" borderId="11" xfId="1" applyFill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6" fillId="2" borderId="36" xfId="0" applyFont="1" applyFill="1" applyBorder="1"/>
    <xf numFmtId="0" fontId="3" fillId="4" borderId="12" xfId="1" applyFont="1" applyFill="1" applyBorder="1" applyAlignment="1">
      <alignment horizontal="center" vertical="center" wrapText="1"/>
    </xf>
    <xf numFmtId="0" fontId="3" fillId="4" borderId="2" xfId="1" applyFont="1" applyFill="1" applyBorder="1" applyAlignment="1">
      <alignment vertical="center" wrapText="1"/>
    </xf>
    <xf numFmtId="0" fontId="3" fillId="4" borderId="12" xfId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horizontal="center" vertical="center"/>
    </xf>
    <xf numFmtId="0" fontId="3" fillId="3" borderId="45" xfId="1" applyFont="1" applyFill="1" applyBorder="1" applyAlignment="1">
      <alignment horizontal="center" vertical="center"/>
    </xf>
    <xf numFmtId="0" fontId="6" fillId="2" borderId="32" xfId="0" applyFont="1" applyFill="1" applyBorder="1"/>
    <xf numFmtId="0" fontId="9" fillId="0" borderId="7" xfId="0" applyFont="1" applyBorder="1" applyAlignment="1">
      <alignment horizontal="center"/>
    </xf>
    <xf numFmtId="164" fontId="9" fillId="0" borderId="7" xfId="0" applyNumberFormat="1" applyFont="1" applyBorder="1" applyAlignment="1">
      <alignment horizontal="center"/>
    </xf>
    <xf numFmtId="0" fontId="2" fillId="0" borderId="0" xfId="0" applyFont="1"/>
    <xf numFmtId="0" fontId="2" fillId="3" borderId="0" xfId="0" applyFont="1" applyFill="1"/>
    <xf numFmtId="0" fontId="6" fillId="3" borderId="0" xfId="0" applyFont="1" applyFill="1"/>
    <xf numFmtId="0" fontId="9" fillId="0" borderId="46" xfId="0" applyFont="1" applyBorder="1" applyAlignment="1">
      <alignment horizontal="center"/>
    </xf>
    <xf numFmtId="164" fontId="9" fillId="0" borderId="46" xfId="0" applyNumberFormat="1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6" fillId="0" borderId="47" xfId="0" applyFont="1" applyBorder="1" applyAlignment="1">
      <alignment horizontal="center"/>
    </xf>
    <xf numFmtId="0" fontId="6" fillId="0" borderId="48" xfId="0" applyFont="1" applyBorder="1" applyAlignment="1">
      <alignment horizontal="center"/>
    </xf>
    <xf numFmtId="164" fontId="6" fillId="0" borderId="0" xfId="0" applyNumberFormat="1" applyFont="1"/>
    <xf numFmtId="0" fontId="2" fillId="0" borderId="39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74" xfId="0" applyFont="1" applyBorder="1" applyAlignment="1">
      <alignment horizontal="center"/>
    </xf>
    <xf numFmtId="164" fontId="2" fillId="0" borderId="43" xfId="0" applyNumberFormat="1" applyFont="1" applyBorder="1" applyAlignment="1">
      <alignment horizontal="center"/>
    </xf>
    <xf numFmtId="0" fontId="2" fillId="0" borderId="68" xfId="0" applyFont="1" applyBorder="1" applyAlignment="1">
      <alignment horizontal="center"/>
    </xf>
    <xf numFmtId="0" fontId="2" fillId="0" borderId="71" xfId="0" applyFont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2" fillId="0" borderId="69" xfId="0" applyFont="1" applyBorder="1" applyAlignment="1">
      <alignment horizontal="center"/>
    </xf>
    <xf numFmtId="3" fontId="2" fillId="2" borderId="32" xfId="1" applyNumberForma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164" fontId="2" fillId="2" borderId="32" xfId="0" applyNumberFormat="1" applyFont="1" applyFill="1" applyBorder="1" applyAlignment="1">
      <alignment horizontal="center" vertical="center"/>
    </xf>
    <xf numFmtId="0" fontId="2" fillId="2" borderId="35" xfId="1" applyFill="1" applyBorder="1" applyAlignment="1">
      <alignment horizontal="center" vertical="center"/>
    </xf>
    <xf numFmtId="0" fontId="2" fillId="2" borderId="32" xfId="1" applyFill="1" applyBorder="1" applyAlignment="1">
      <alignment horizontal="center" vertical="center" wrapText="1"/>
    </xf>
    <xf numFmtId="0" fontId="2" fillId="0" borderId="0" xfId="1" applyAlignment="1">
      <alignment horizontal="center" vertical="center" wrapText="1"/>
    </xf>
    <xf numFmtId="0" fontId="2" fillId="2" borderId="33" xfId="1" applyFill="1" applyBorder="1" applyAlignment="1">
      <alignment horizontal="center" vertical="center" wrapText="1"/>
    </xf>
    <xf numFmtId="9" fontId="2" fillId="0" borderId="67" xfId="1" applyNumberFormat="1" applyBorder="1" applyAlignment="1">
      <alignment horizontal="center" vertical="center"/>
    </xf>
    <xf numFmtId="9" fontId="2" fillId="0" borderId="70" xfId="1" applyNumberFormat="1" applyBorder="1" applyAlignment="1">
      <alignment horizontal="center" vertical="center"/>
    </xf>
    <xf numFmtId="9" fontId="2" fillId="0" borderId="80" xfId="1" applyNumberFormat="1" applyBorder="1" applyAlignment="1">
      <alignment horizontal="center" vertical="center"/>
    </xf>
    <xf numFmtId="0" fontId="3" fillId="3" borderId="81" xfId="1" applyFont="1" applyFill="1" applyBorder="1" applyAlignment="1">
      <alignment horizontal="center" vertical="center"/>
    </xf>
    <xf numFmtId="0" fontId="3" fillId="3" borderId="82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 wrapText="1"/>
    </xf>
    <xf numFmtId="0" fontId="2" fillId="3" borderId="76" xfId="1" applyFill="1" applyBorder="1" applyAlignment="1">
      <alignment horizontal="center" vertical="center"/>
    </xf>
    <xf numFmtId="0" fontId="2" fillId="3" borderId="89" xfId="1" applyFill="1" applyBorder="1" applyAlignment="1">
      <alignment horizontal="center" vertical="center"/>
    </xf>
    <xf numFmtId="0" fontId="2" fillId="3" borderId="90" xfId="1" applyFill="1" applyBorder="1" applyAlignment="1">
      <alignment horizontal="center" vertical="center"/>
    </xf>
    <xf numFmtId="0" fontId="2" fillId="3" borderId="88" xfId="1" applyFill="1" applyBorder="1" applyAlignment="1">
      <alignment horizontal="center" vertical="center"/>
    </xf>
    <xf numFmtId="0" fontId="3" fillId="3" borderId="81" xfId="1" applyFont="1" applyFill="1" applyBorder="1" applyAlignment="1">
      <alignment horizontal="center" vertical="center" wrapText="1"/>
    </xf>
    <xf numFmtId="0" fontId="3" fillId="3" borderId="94" xfId="1" applyFont="1" applyFill="1" applyBorder="1" applyAlignment="1">
      <alignment horizontal="center" vertical="center" wrapText="1"/>
    </xf>
    <xf numFmtId="0" fontId="3" fillId="3" borderId="93" xfId="1" applyFont="1" applyFill="1" applyBorder="1" applyAlignment="1">
      <alignment horizontal="center" vertical="center"/>
    </xf>
    <xf numFmtId="0" fontId="3" fillId="3" borderId="94" xfId="1" applyFont="1" applyFill="1" applyBorder="1" applyAlignment="1">
      <alignment horizontal="center" vertical="center"/>
    </xf>
    <xf numFmtId="0" fontId="3" fillId="3" borderId="97" xfId="1" applyFont="1" applyFill="1" applyBorder="1" applyAlignment="1">
      <alignment horizontal="center" vertical="center"/>
    </xf>
    <xf numFmtId="0" fontId="2" fillId="0" borderId="96" xfId="0" applyFont="1" applyBorder="1" applyAlignment="1">
      <alignment horizontal="center"/>
    </xf>
    <xf numFmtId="0" fontId="2" fillId="0" borderId="83" xfId="0" applyFont="1" applyBorder="1" applyAlignment="1">
      <alignment horizontal="center" vertical="center"/>
    </xf>
    <xf numFmtId="0" fontId="2" fillId="0" borderId="85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164" fontId="2" fillId="0" borderId="98" xfId="0" applyNumberFormat="1" applyFont="1" applyBorder="1" applyAlignment="1">
      <alignment horizontal="center" vertical="center"/>
    </xf>
    <xf numFmtId="0" fontId="2" fillId="0" borderId="95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91" xfId="0" applyFont="1" applyBorder="1" applyAlignment="1">
      <alignment horizontal="center" vertical="center"/>
    </xf>
    <xf numFmtId="0" fontId="2" fillId="0" borderId="92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/>
    </xf>
    <xf numFmtId="0" fontId="2" fillId="0" borderId="86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98" xfId="0" applyFont="1" applyBorder="1" applyAlignment="1">
      <alignment horizontal="center" vertical="center"/>
    </xf>
    <xf numFmtId="0" fontId="2" fillId="0" borderId="84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2" fillId="0" borderId="75" xfId="0" applyFont="1" applyBorder="1" applyAlignment="1">
      <alignment horizontal="center" vertical="center"/>
    </xf>
    <xf numFmtId="0" fontId="2" fillId="0" borderId="99" xfId="0" applyFont="1" applyBorder="1" applyAlignment="1">
      <alignment horizontal="center" vertical="center"/>
    </xf>
    <xf numFmtId="0" fontId="2" fillId="0" borderId="96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2" fillId="0" borderId="101" xfId="0" applyFont="1" applyBorder="1" applyAlignment="1">
      <alignment horizontal="center" vertical="center"/>
    </xf>
    <xf numFmtId="0" fontId="2" fillId="0" borderId="100" xfId="0" applyFont="1" applyBorder="1" applyAlignment="1">
      <alignment horizontal="center" vertical="center"/>
    </xf>
    <xf numFmtId="164" fontId="2" fillId="0" borderId="102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91" xfId="0" applyNumberFormat="1" applyFont="1" applyBorder="1" applyAlignment="1">
      <alignment horizontal="center" vertical="center"/>
    </xf>
    <xf numFmtId="164" fontId="2" fillId="0" borderId="92" xfId="0" applyNumberFormat="1" applyFont="1" applyBorder="1" applyAlignment="1">
      <alignment horizontal="center" vertical="center"/>
    </xf>
    <xf numFmtId="164" fontId="2" fillId="0" borderId="25" xfId="0" applyNumberFormat="1" applyFont="1" applyBorder="1" applyAlignment="1">
      <alignment horizontal="center" vertical="center"/>
    </xf>
    <xf numFmtId="164" fontId="2" fillId="0" borderId="100" xfId="0" applyNumberFormat="1" applyFont="1" applyBorder="1" applyAlignment="1">
      <alignment horizontal="center" vertical="center"/>
    </xf>
    <xf numFmtId="0" fontId="2" fillId="0" borderId="43" xfId="0" applyFont="1" applyBorder="1" applyAlignment="1">
      <alignment horizontal="center"/>
    </xf>
    <xf numFmtId="0" fontId="2" fillId="2" borderId="103" xfId="1" applyFill="1" applyBorder="1" applyAlignment="1">
      <alignment horizontal="center" vertical="center"/>
    </xf>
    <xf numFmtId="3" fontId="2" fillId="2" borderId="104" xfId="1" applyNumberFormat="1" applyFill="1" applyBorder="1" applyAlignment="1">
      <alignment horizontal="center" vertical="center"/>
    </xf>
    <xf numFmtId="0" fontId="2" fillId="2" borderId="77" xfId="1" applyFill="1" applyBorder="1" applyAlignment="1">
      <alignment horizontal="center" vertical="center"/>
    </xf>
    <xf numFmtId="0" fontId="2" fillId="0" borderId="105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164" fontId="2" fillId="0" borderId="4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0" borderId="55" xfId="0" applyNumberFormat="1" applyFont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2" fillId="2" borderId="33" xfId="1" applyFill="1" applyBorder="1" applyAlignment="1">
      <alignment horizontal="center" vertical="center"/>
    </xf>
    <xf numFmtId="164" fontId="2" fillId="3" borderId="106" xfId="0" applyNumberFormat="1" applyFont="1" applyFill="1" applyBorder="1" applyAlignment="1">
      <alignment horizontal="center" vertical="center"/>
    </xf>
    <xf numFmtId="0" fontId="2" fillId="3" borderId="106" xfId="0" applyFont="1" applyFill="1" applyBorder="1" applyAlignment="1">
      <alignment vertical="center"/>
    </xf>
    <xf numFmtId="0" fontId="3" fillId="3" borderId="107" xfId="1" applyFont="1" applyFill="1" applyBorder="1" applyAlignment="1">
      <alignment horizontal="center" vertical="center"/>
    </xf>
    <xf numFmtId="0" fontId="3" fillId="3" borderId="108" xfId="1" applyFont="1" applyFill="1" applyBorder="1" applyAlignment="1">
      <alignment horizontal="center" vertical="center"/>
    </xf>
    <xf numFmtId="0" fontId="3" fillId="3" borderId="109" xfId="1" applyFont="1" applyFill="1" applyBorder="1" applyAlignment="1">
      <alignment horizontal="center" vertical="center"/>
    </xf>
    <xf numFmtId="0" fontId="3" fillId="3" borderId="110" xfId="1" applyFont="1" applyFill="1" applyBorder="1" applyAlignment="1">
      <alignment horizontal="center" vertical="center"/>
    </xf>
    <xf numFmtId="0" fontId="3" fillId="3" borderId="110" xfId="1" applyFont="1" applyFill="1" applyBorder="1" applyAlignment="1">
      <alignment horizontal="center" vertical="center" wrapText="1"/>
    </xf>
    <xf numFmtId="0" fontId="3" fillId="3" borderId="108" xfId="1" applyFont="1" applyFill="1" applyBorder="1" applyAlignment="1">
      <alignment horizontal="center" vertical="center" wrapText="1"/>
    </xf>
    <xf numFmtId="0" fontId="3" fillId="3" borderId="111" xfId="1" applyFont="1" applyFill="1" applyBorder="1" applyAlignment="1">
      <alignment horizontal="center" vertical="center" wrapText="1"/>
    </xf>
    <xf numFmtId="0" fontId="2" fillId="3" borderId="112" xfId="1" applyFill="1" applyBorder="1" applyAlignment="1">
      <alignment horizontal="center" vertical="center"/>
    </xf>
    <xf numFmtId="0" fontId="2" fillId="3" borderId="113" xfId="1" applyFill="1" applyBorder="1" applyAlignment="1">
      <alignment horizontal="center" vertical="center"/>
    </xf>
    <xf numFmtId="0" fontId="2" fillId="3" borderId="114" xfId="1" applyFill="1" applyBorder="1" applyAlignment="1">
      <alignment horizontal="center" vertical="center"/>
    </xf>
    <xf numFmtId="0" fontId="2" fillId="3" borderId="115" xfId="1" applyFill="1" applyBorder="1" applyAlignment="1">
      <alignment horizontal="center" vertical="center"/>
    </xf>
    <xf numFmtId="0" fontId="2" fillId="3" borderId="116" xfId="0" applyFont="1" applyFill="1" applyBorder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3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0" borderId="101" xfId="0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164" fontId="2" fillId="0" borderId="44" xfId="0" applyNumberFormat="1" applyFont="1" applyBorder="1" applyAlignment="1">
      <alignment horizontal="center"/>
    </xf>
    <xf numFmtId="0" fontId="2" fillId="0" borderId="105" xfId="0" applyFont="1" applyBorder="1" applyAlignment="1">
      <alignment horizontal="center"/>
    </xf>
    <xf numFmtId="0" fontId="2" fillId="0" borderId="100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91" xfId="0" applyFont="1" applyBorder="1" applyAlignment="1">
      <alignment horizontal="center"/>
    </xf>
    <xf numFmtId="0" fontId="2" fillId="0" borderId="92" xfId="0" applyFont="1" applyBorder="1" applyAlignment="1">
      <alignment horizontal="center"/>
    </xf>
    <xf numFmtId="0" fontId="2" fillId="0" borderId="83" xfId="0" applyFont="1" applyBorder="1" applyAlignment="1">
      <alignment horizontal="center"/>
    </xf>
    <xf numFmtId="0" fontId="2" fillId="0" borderId="95" xfId="0" applyFont="1" applyBorder="1" applyAlignment="1">
      <alignment horizontal="center"/>
    </xf>
    <xf numFmtId="0" fontId="2" fillId="0" borderId="117" xfId="0" applyFont="1" applyBorder="1" applyAlignment="1">
      <alignment horizontal="center" vertical="center"/>
    </xf>
    <xf numFmtId="0" fontId="2" fillId="0" borderId="118" xfId="0" applyFont="1" applyBorder="1" applyAlignment="1">
      <alignment horizontal="center" vertical="center"/>
    </xf>
    <xf numFmtId="0" fontId="2" fillId="3" borderId="116" xfId="0" applyFont="1" applyFill="1" applyBorder="1" applyAlignment="1">
      <alignment horizontal="center" vertical="center"/>
    </xf>
    <xf numFmtId="0" fontId="2" fillId="3" borderId="106" xfId="0" applyFont="1" applyFill="1" applyBorder="1" applyAlignment="1">
      <alignment horizontal="center" vertical="center"/>
    </xf>
    <xf numFmtId="0" fontId="2" fillId="0" borderId="84" xfId="0" applyFont="1" applyBorder="1" applyAlignment="1">
      <alignment horizontal="center"/>
    </xf>
    <xf numFmtId="0" fontId="2" fillId="0" borderId="75" xfId="0" applyFont="1" applyBorder="1" applyAlignment="1">
      <alignment horizontal="center"/>
    </xf>
    <xf numFmtId="0" fontId="2" fillId="0" borderId="72" xfId="0" applyFont="1" applyBorder="1" applyAlignment="1">
      <alignment horizontal="center"/>
    </xf>
    <xf numFmtId="0" fontId="3" fillId="3" borderId="120" xfId="1" applyFont="1" applyFill="1" applyBorder="1" applyAlignment="1">
      <alignment horizontal="center" vertical="center"/>
    </xf>
    <xf numFmtId="0" fontId="2" fillId="3" borderId="11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64" fontId="2" fillId="2" borderId="121" xfId="0" applyNumberFormat="1" applyFont="1" applyFill="1" applyBorder="1" applyAlignment="1">
      <alignment horizontal="center" vertical="center"/>
    </xf>
    <xf numFmtId="0" fontId="3" fillId="3" borderId="122" xfId="1" applyFont="1" applyFill="1" applyBorder="1" applyAlignment="1">
      <alignment horizontal="center" vertical="center"/>
    </xf>
    <xf numFmtId="0" fontId="3" fillId="3" borderId="123" xfId="1" applyFont="1" applyFill="1" applyBorder="1" applyAlignment="1">
      <alignment horizontal="center" vertical="center"/>
    </xf>
    <xf numFmtId="0" fontId="3" fillId="3" borderId="124" xfId="1" applyFont="1" applyFill="1" applyBorder="1" applyAlignment="1">
      <alignment horizontal="center" vertical="center"/>
    </xf>
    <xf numFmtId="0" fontId="3" fillId="3" borderId="124" xfId="1" applyFont="1" applyFill="1" applyBorder="1" applyAlignment="1">
      <alignment horizontal="center" vertical="center" wrapText="1"/>
    </xf>
    <xf numFmtId="0" fontId="3" fillId="3" borderId="45" xfId="1" applyFont="1" applyFill="1" applyBorder="1" applyAlignment="1">
      <alignment horizontal="center" vertical="center" wrapText="1"/>
    </xf>
    <xf numFmtId="0" fontId="2" fillId="3" borderId="28" xfId="1" applyFill="1" applyBorder="1" applyAlignment="1">
      <alignment horizontal="center" vertical="center"/>
    </xf>
    <xf numFmtId="0" fontId="2" fillId="3" borderId="125" xfId="0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126" xfId="0" applyFont="1" applyBorder="1" applyAlignment="1">
      <alignment horizontal="center" vertical="center"/>
    </xf>
    <xf numFmtId="0" fontId="2" fillId="0" borderId="128" xfId="0" applyFont="1" applyBorder="1" applyAlignment="1">
      <alignment horizontal="center" vertical="center"/>
    </xf>
    <xf numFmtId="0" fontId="2" fillId="0" borderId="130" xfId="0" applyFont="1" applyBorder="1" applyAlignment="1">
      <alignment horizontal="center" vertical="center"/>
    </xf>
    <xf numFmtId="0" fontId="2" fillId="0" borderId="131" xfId="0" applyFont="1" applyBorder="1" applyAlignment="1">
      <alignment horizontal="center" vertical="center"/>
    </xf>
    <xf numFmtId="0" fontId="2" fillId="0" borderId="108" xfId="0" applyFont="1" applyBorder="1" applyAlignment="1">
      <alignment horizontal="center" vertical="center"/>
    </xf>
    <xf numFmtId="0" fontId="2" fillId="0" borderId="120" xfId="0" applyFont="1" applyBorder="1" applyAlignment="1">
      <alignment horizontal="center" vertical="center"/>
    </xf>
    <xf numFmtId="0" fontId="2" fillId="0" borderId="132" xfId="0" applyFont="1" applyBorder="1" applyAlignment="1">
      <alignment horizontal="center" vertical="center"/>
    </xf>
    <xf numFmtId="0" fontId="2" fillId="0" borderId="133" xfId="0" applyFont="1" applyBorder="1" applyAlignment="1">
      <alignment horizontal="center" vertical="center"/>
    </xf>
    <xf numFmtId="0" fontId="2" fillId="0" borderId="134" xfId="0" applyFont="1" applyBorder="1" applyAlignment="1">
      <alignment horizontal="center" vertical="center"/>
    </xf>
    <xf numFmtId="0" fontId="2" fillId="0" borderId="127" xfId="0" applyFont="1" applyBorder="1" applyAlignment="1">
      <alignment horizontal="center" vertical="center" wrapText="1"/>
    </xf>
    <xf numFmtId="0" fontId="2" fillId="0" borderId="135" xfId="0" applyFont="1" applyBorder="1" applyAlignment="1">
      <alignment horizontal="center" vertical="center" wrapText="1"/>
    </xf>
    <xf numFmtId="0" fontId="2" fillId="0" borderId="111" xfId="0" applyFont="1" applyBorder="1" applyAlignment="1">
      <alignment horizontal="center" vertical="center"/>
    </xf>
    <xf numFmtId="0" fontId="2" fillId="3" borderId="136" xfId="0" applyFont="1" applyFill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0" fontId="3" fillId="3" borderId="137" xfId="1" applyFont="1" applyFill="1" applyBorder="1" applyAlignment="1">
      <alignment horizontal="center" vertical="center" wrapText="1"/>
    </xf>
    <xf numFmtId="0" fontId="2" fillId="0" borderId="138" xfId="0" applyFont="1" applyBorder="1" applyAlignment="1">
      <alignment horizontal="center" vertical="center"/>
    </xf>
    <xf numFmtId="0" fontId="6" fillId="0" borderId="143" xfId="0" applyFont="1" applyBorder="1" applyAlignment="1">
      <alignment horizontal="center"/>
    </xf>
    <xf numFmtId="0" fontId="6" fillId="0" borderId="145" xfId="0" applyFont="1" applyBorder="1" applyAlignment="1">
      <alignment horizontal="center"/>
    </xf>
    <xf numFmtId="0" fontId="6" fillId="0" borderId="139" xfId="0" applyFont="1" applyBorder="1" applyAlignment="1">
      <alignment horizontal="center"/>
    </xf>
    <xf numFmtId="0" fontId="2" fillId="0" borderId="140" xfId="0" applyFont="1" applyBorder="1" applyAlignment="1">
      <alignment horizontal="center"/>
    </xf>
    <xf numFmtId="0" fontId="2" fillId="0" borderId="142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/>
    </xf>
    <xf numFmtId="164" fontId="14" fillId="0" borderId="7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164" fontId="15" fillId="0" borderId="7" xfId="0" applyNumberFormat="1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0" fontId="2" fillId="0" borderId="147" xfId="0" applyFont="1" applyBorder="1"/>
    <xf numFmtId="0" fontId="2" fillId="0" borderId="148" xfId="0" applyFont="1" applyBorder="1"/>
    <xf numFmtId="164" fontId="15" fillId="0" borderId="149" xfId="0" applyNumberFormat="1" applyFont="1" applyBorder="1" applyAlignment="1">
      <alignment horizontal="center"/>
    </xf>
    <xf numFmtId="0" fontId="2" fillId="0" borderId="149" xfId="0" applyFont="1" applyBorder="1" applyAlignment="1">
      <alignment horizontal="center"/>
    </xf>
    <xf numFmtId="164" fontId="2" fillId="0" borderId="31" xfId="0" applyNumberFormat="1" applyFont="1" applyBorder="1" applyAlignment="1">
      <alignment horizontal="center"/>
    </xf>
    <xf numFmtId="0" fontId="15" fillId="0" borderId="31" xfId="0" applyFont="1" applyBorder="1" applyAlignment="1">
      <alignment horizontal="center" vertical="center"/>
    </xf>
    <xf numFmtId="164" fontId="2" fillId="0" borderId="31" xfId="0" applyNumberFormat="1" applyFont="1" applyBorder="1" applyAlignment="1">
      <alignment horizontal="center" vertical="center"/>
    </xf>
    <xf numFmtId="164" fontId="15" fillId="0" borderId="151" xfId="0" applyNumberFormat="1" applyFont="1" applyBorder="1" applyAlignment="1">
      <alignment horizontal="center"/>
    </xf>
    <xf numFmtId="0" fontId="5" fillId="0" borderId="152" xfId="0" applyFont="1" applyBorder="1"/>
    <xf numFmtId="0" fontId="15" fillId="0" borderId="152" xfId="0" applyFont="1" applyBorder="1"/>
    <xf numFmtId="0" fontId="2" fillId="0" borderId="152" xfId="0" applyFont="1" applyBorder="1"/>
    <xf numFmtId="0" fontId="15" fillId="0" borderId="153" xfId="0" applyFont="1" applyBorder="1"/>
    <xf numFmtId="0" fontId="2" fillId="0" borderId="157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5" fillId="0" borderId="158" xfId="0" applyFont="1" applyBorder="1" applyAlignment="1">
      <alignment horizontal="center" vertical="center"/>
    </xf>
    <xf numFmtId="0" fontId="5" fillId="0" borderId="88" xfId="0" applyFont="1" applyBorder="1" applyAlignment="1">
      <alignment horizontal="center" vertical="center"/>
    </xf>
    <xf numFmtId="0" fontId="5" fillId="0" borderId="88" xfId="0" applyFont="1" applyBorder="1" applyAlignment="1">
      <alignment horizontal="center" vertical="center" wrapText="1"/>
    </xf>
    <xf numFmtId="0" fontId="5" fillId="0" borderId="15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111" xfId="0" applyBorder="1" applyAlignment="1">
      <alignment horizontal="center" vertical="center"/>
    </xf>
    <xf numFmtId="0" fontId="0" fillId="0" borderId="108" xfId="0" applyBorder="1" applyAlignment="1">
      <alignment horizontal="center" vertical="center"/>
    </xf>
    <xf numFmtId="0" fontId="0" fillId="0" borderId="12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164" fontId="14" fillId="0" borderId="162" xfId="2" applyNumberFormat="1" applyFont="1" applyBorder="1" applyAlignment="1">
      <alignment horizontal="center" vertical="center"/>
    </xf>
    <xf numFmtId="164" fontId="15" fillId="0" borderId="162" xfId="0" applyNumberFormat="1" applyFont="1" applyBorder="1" applyAlignment="1">
      <alignment horizontal="center" vertical="center"/>
    </xf>
    <xf numFmtId="0" fontId="2" fillId="0" borderId="162" xfId="0" applyFont="1" applyBorder="1" applyAlignment="1">
      <alignment horizontal="center" vertical="center"/>
    </xf>
    <xf numFmtId="0" fontId="2" fillId="0" borderId="163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2" fillId="0" borderId="43" xfId="0" applyFont="1" applyBorder="1"/>
    <xf numFmtId="0" fontId="2" fillId="0" borderId="0" xfId="0" applyFont="1" applyAlignment="1">
      <alignment horizontal="center"/>
    </xf>
    <xf numFmtId="0" fontId="5" fillId="0" borderId="0" xfId="0" applyFont="1"/>
    <xf numFmtId="0" fontId="2" fillId="0" borderId="169" xfId="0" applyFont="1" applyBorder="1" applyAlignment="1">
      <alignment horizontal="center" vertical="center"/>
    </xf>
    <xf numFmtId="0" fontId="2" fillId="0" borderId="170" xfId="0" applyFont="1" applyBorder="1" applyAlignment="1">
      <alignment horizontal="center"/>
    </xf>
    <xf numFmtId="0" fontId="2" fillId="0" borderId="3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10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171" xfId="0" applyFont="1" applyBorder="1" applyAlignment="1">
      <alignment horizontal="center" vertical="center"/>
    </xf>
    <xf numFmtId="0" fontId="7" fillId="0" borderId="0" xfId="0" applyFont="1"/>
    <xf numFmtId="0" fontId="10" fillId="0" borderId="0" xfId="0" applyFont="1" applyAlignment="1">
      <alignment horizontal="center" vertical="center"/>
    </xf>
    <xf numFmtId="3" fontId="6" fillId="0" borderId="0" xfId="0" applyNumberFormat="1" applyFont="1"/>
    <xf numFmtId="3" fontId="2" fillId="0" borderId="0" xfId="0" applyNumberFormat="1" applyFont="1" applyAlignment="1">
      <alignment horizontal="center" vertical="center"/>
    </xf>
    <xf numFmtId="0" fontId="6" fillId="0" borderId="2" xfId="0" applyFont="1" applyBorder="1"/>
    <xf numFmtId="0" fontId="2" fillId="0" borderId="108" xfId="0" applyFont="1" applyBorder="1"/>
    <xf numFmtId="0" fontId="5" fillId="0" borderId="0" xfId="0" applyFont="1" applyAlignment="1">
      <alignment horizontal="center" vertical="center" wrapText="1"/>
    </xf>
    <xf numFmtId="0" fontId="2" fillId="0" borderId="178" xfId="0" applyFont="1" applyBorder="1" applyAlignment="1">
      <alignment horizontal="center"/>
    </xf>
    <xf numFmtId="0" fontId="2" fillId="0" borderId="18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83" xfId="0" applyFont="1" applyBorder="1" applyAlignment="1">
      <alignment horizontal="center" vertical="center"/>
    </xf>
    <xf numFmtId="0" fontId="2" fillId="0" borderId="184" xfId="0" applyFont="1" applyBorder="1" applyAlignment="1">
      <alignment horizontal="center"/>
    </xf>
    <xf numFmtId="0" fontId="2" fillId="0" borderId="189" xfId="0" applyFont="1" applyBorder="1" applyAlignment="1">
      <alignment horizontal="center"/>
    </xf>
    <xf numFmtId="164" fontId="2" fillId="0" borderId="190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/>
    </xf>
    <xf numFmtId="164" fontId="2" fillId="0" borderId="186" xfId="0" applyNumberFormat="1" applyFont="1" applyBorder="1" applyAlignment="1">
      <alignment horizontal="center"/>
    </xf>
    <xf numFmtId="164" fontId="2" fillId="0" borderId="187" xfId="0" applyNumberFormat="1" applyFont="1" applyBorder="1" applyAlignment="1">
      <alignment horizontal="center"/>
    </xf>
    <xf numFmtId="0" fontId="10" fillId="0" borderId="120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170" xfId="0" applyFont="1" applyBorder="1" applyAlignment="1">
      <alignment horizontal="center" vertical="center"/>
    </xf>
    <xf numFmtId="0" fontId="10" fillId="0" borderId="76" xfId="0" applyFont="1" applyBorder="1" applyAlignment="1">
      <alignment horizontal="center" vertical="center" wrapText="1"/>
    </xf>
    <xf numFmtId="0" fontId="10" fillId="0" borderId="177" xfId="0" applyFont="1" applyBorder="1" applyAlignment="1">
      <alignment horizontal="center" vertical="center" wrapText="1"/>
    </xf>
    <xf numFmtId="0" fontId="10" fillId="0" borderId="176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/>
    </xf>
    <xf numFmtId="0" fontId="10" fillId="0" borderId="53" xfId="0" applyFont="1" applyBorder="1" applyAlignment="1">
      <alignment horizontal="center" vertical="center"/>
    </xf>
    <xf numFmtId="0" fontId="10" fillId="0" borderId="134" xfId="0" applyFont="1" applyBorder="1" applyAlignment="1">
      <alignment horizontal="center" vertical="center"/>
    </xf>
    <xf numFmtId="0" fontId="10" fillId="0" borderId="120" xfId="0" applyFont="1" applyBorder="1" applyAlignment="1">
      <alignment horizontal="center"/>
    </xf>
    <xf numFmtId="0" fontId="9" fillId="0" borderId="108" xfId="0" applyFont="1" applyBorder="1" applyAlignment="1">
      <alignment horizontal="center" vertical="center"/>
    </xf>
    <xf numFmtId="0" fontId="16" fillId="0" borderId="17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5" fillId="0" borderId="111" xfId="0" applyFont="1" applyBorder="1" applyAlignment="1">
      <alignment horizontal="center" vertical="center"/>
    </xf>
    <xf numFmtId="0" fontId="5" fillId="0" borderId="108" xfId="0" applyFont="1" applyBorder="1" applyAlignment="1">
      <alignment horizontal="center" vertical="center"/>
    </xf>
    <xf numFmtId="0" fontId="5" fillId="0" borderId="12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4" fontId="5" fillId="0" borderId="108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143" xfId="0" applyFont="1" applyBorder="1" applyAlignment="1">
      <alignment horizontal="center"/>
    </xf>
    <xf numFmtId="0" fontId="9" fillId="0" borderId="140" xfId="0" applyFont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2" fillId="0" borderId="168" xfId="0" applyFont="1" applyBorder="1" applyAlignment="1">
      <alignment horizontal="center"/>
    </xf>
    <xf numFmtId="0" fontId="12" fillId="0" borderId="46" xfId="0" applyFont="1" applyBorder="1" applyAlignment="1">
      <alignment horizontal="center"/>
    </xf>
    <xf numFmtId="0" fontId="12" fillId="0" borderId="145" xfId="0" applyFont="1" applyBorder="1" applyAlignment="1">
      <alignment horizontal="center"/>
    </xf>
    <xf numFmtId="0" fontId="9" fillId="0" borderId="142" xfId="0" applyFont="1" applyBorder="1" applyAlignment="1">
      <alignment horizontal="center"/>
    </xf>
    <xf numFmtId="0" fontId="12" fillId="0" borderId="48" xfId="0" applyFont="1" applyBorder="1" applyAlignment="1">
      <alignment horizontal="center"/>
    </xf>
    <xf numFmtId="0" fontId="12" fillId="0" borderId="47" xfId="0" applyFont="1" applyBorder="1" applyAlignment="1">
      <alignment horizontal="center"/>
    </xf>
    <xf numFmtId="0" fontId="1" fillId="0" borderId="5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2" borderId="35" xfId="1" applyFont="1" applyFill="1" applyBorder="1" applyAlignment="1">
      <alignment horizontal="center" vertical="center" wrapText="1"/>
    </xf>
    <xf numFmtId="0" fontId="1" fillId="0" borderId="0" xfId="0" applyFont="1"/>
    <xf numFmtId="0" fontId="1" fillId="3" borderId="0" xfId="0" applyFont="1" applyFill="1"/>
    <xf numFmtId="0" fontId="12" fillId="0" borderId="0" xfId="0" applyFont="1"/>
    <xf numFmtId="0" fontId="17" fillId="0" borderId="46" xfId="0" applyFont="1" applyBorder="1"/>
    <xf numFmtId="0" fontId="3" fillId="3" borderId="169" xfId="1" applyFont="1" applyFill="1" applyBorder="1" applyAlignment="1">
      <alignment horizontal="center" vertical="center"/>
    </xf>
    <xf numFmtId="0" fontId="3" fillId="3" borderId="169" xfId="1" applyFont="1" applyFill="1" applyBorder="1" applyAlignment="1">
      <alignment horizontal="center" vertical="center" wrapText="1"/>
    </xf>
    <xf numFmtId="0" fontId="2" fillId="3" borderId="169" xfId="1" applyFill="1" applyBorder="1" applyAlignment="1">
      <alignment horizontal="center" vertical="center"/>
    </xf>
    <xf numFmtId="0" fontId="2" fillId="3" borderId="120" xfId="1" applyFill="1" applyBorder="1" applyAlignment="1">
      <alignment horizontal="center" vertical="center"/>
    </xf>
    <xf numFmtId="0" fontId="3" fillId="3" borderId="112" xfId="1" applyFont="1" applyFill="1" applyBorder="1" applyAlignment="1">
      <alignment horizontal="center" vertical="center"/>
    </xf>
    <xf numFmtId="0" fontId="3" fillId="3" borderId="175" xfId="1" applyFont="1" applyFill="1" applyBorder="1" applyAlignment="1">
      <alignment horizontal="center" vertical="center" wrapText="1"/>
    </xf>
    <xf numFmtId="0" fontId="2" fillId="0" borderId="195" xfId="1" applyBorder="1" applyAlignment="1">
      <alignment horizontal="center" vertical="center"/>
    </xf>
    <xf numFmtId="0" fontId="2" fillId="0" borderId="147" xfId="1" applyBorder="1" applyAlignment="1">
      <alignment horizontal="center" vertical="center"/>
    </xf>
    <xf numFmtId="0" fontId="2" fillId="0" borderId="198" xfId="1" applyBorder="1" applyAlignment="1">
      <alignment horizontal="center" vertical="center"/>
    </xf>
    <xf numFmtId="0" fontId="2" fillId="0" borderId="199" xfId="1" applyBorder="1" applyAlignment="1">
      <alignment horizontal="center" vertical="center"/>
    </xf>
    <xf numFmtId="0" fontId="10" fillId="0" borderId="199" xfId="1" applyFont="1" applyBorder="1" applyAlignment="1">
      <alignment horizontal="center" vertical="center"/>
    </xf>
    <xf numFmtId="0" fontId="2" fillId="0" borderId="200" xfId="1" applyBorder="1" applyAlignment="1">
      <alignment horizontal="center" vertical="center"/>
    </xf>
    <xf numFmtId="0" fontId="7" fillId="0" borderId="149" xfId="0" applyFont="1" applyBorder="1" applyAlignment="1">
      <alignment horizontal="center"/>
    </xf>
    <xf numFmtId="0" fontId="6" fillId="0" borderId="149" xfId="0" applyFont="1" applyBorder="1" applyAlignment="1">
      <alignment horizontal="center"/>
    </xf>
    <xf numFmtId="0" fontId="2" fillId="0" borderId="201" xfId="0" applyFont="1" applyBorder="1" applyAlignment="1">
      <alignment horizontal="center"/>
    </xf>
    <xf numFmtId="0" fontId="3" fillId="3" borderId="175" xfId="1" applyFont="1" applyFill="1" applyBorder="1" applyAlignment="1">
      <alignment horizontal="center" vertical="center"/>
    </xf>
    <xf numFmtId="0" fontId="1" fillId="0" borderId="120" xfId="0" applyFont="1" applyBorder="1"/>
    <xf numFmtId="0" fontId="1" fillId="0" borderId="120" xfId="0" applyFont="1" applyBorder="1" applyAlignment="1">
      <alignment horizontal="center" vertical="center" wrapText="1"/>
    </xf>
    <xf numFmtId="0" fontId="6" fillId="0" borderId="37" xfId="0" applyFont="1" applyBorder="1"/>
    <xf numFmtId="0" fontId="6" fillId="0" borderId="37" xfId="0" applyFont="1" applyBorder="1" applyAlignment="1">
      <alignment horizontal="center" vertical="center"/>
    </xf>
    <xf numFmtId="0" fontId="6" fillId="0" borderId="14" xfId="0" applyFont="1" applyBorder="1"/>
    <xf numFmtId="0" fontId="1" fillId="0" borderId="128" xfId="0" applyFont="1" applyBorder="1" applyAlignment="1">
      <alignment horizontal="center" wrapText="1"/>
    </xf>
    <xf numFmtId="1" fontId="5" fillId="0" borderId="115" xfId="0" applyNumberFormat="1" applyFont="1" applyBorder="1" applyAlignment="1">
      <alignment horizontal="center" vertical="center"/>
    </xf>
    <xf numFmtId="1" fontId="5" fillId="0" borderId="181" xfId="0" applyNumberFormat="1" applyFont="1" applyBorder="1" applyAlignment="1">
      <alignment horizontal="center" vertical="center"/>
    </xf>
    <xf numFmtId="0" fontId="1" fillId="0" borderId="208" xfId="0" applyFont="1" applyBorder="1" applyAlignment="1">
      <alignment horizontal="center" vertical="center" wrapText="1"/>
    </xf>
    <xf numFmtId="0" fontId="10" fillId="0" borderId="208" xfId="0" applyFont="1" applyBorder="1" applyAlignment="1">
      <alignment horizontal="center" vertical="center" wrapText="1"/>
    </xf>
    <xf numFmtId="0" fontId="1" fillId="0" borderId="120" xfId="0" applyFont="1" applyBorder="1" applyAlignment="1">
      <alignment horizontal="center" vertical="center"/>
    </xf>
    <xf numFmtId="0" fontId="1" fillId="0" borderId="115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207" xfId="0" applyFont="1" applyBorder="1" applyAlignment="1">
      <alignment horizontal="center" vertical="center"/>
    </xf>
    <xf numFmtId="0" fontId="10" fillId="0" borderId="173" xfId="0" applyFont="1" applyBorder="1" applyAlignment="1">
      <alignment horizontal="center" vertical="center"/>
    </xf>
    <xf numFmtId="0" fontId="1" fillId="0" borderId="209" xfId="0" applyFont="1" applyBorder="1" applyAlignment="1">
      <alignment horizontal="center" vertical="center"/>
    </xf>
    <xf numFmtId="0" fontId="1" fillId="0" borderId="210" xfId="0" applyFont="1" applyBorder="1" applyAlignment="1">
      <alignment horizontal="center" vertical="center"/>
    </xf>
    <xf numFmtId="0" fontId="10" fillId="0" borderId="210" xfId="0" applyFont="1" applyBorder="1" applyAlignment="1">
      <alignment horizontal="center" vertical="center"/>
    </xf>
    <xf numFmtId="1" fontId="1" fillId="0" borderId="211" xfId="0" applyNumberFormat="1" applyFont="1" applyBorder="1" applyAlignment="1">
      <alignment horizontal="center" vertical="center"/>
    </xf>
    <xf numFmtId="0" fontId="1" fillId="0" borderId="212" xfId="0" applyFont="1" applyBorder="1" applyAlignment="1">
      <alignment horizontal="center" vertical="center"/>
    </xf>
    <xf numFmtId="0" fontId="1" fillId="0" borderId="213" xfId="0" applyFont="1" applyBorder="1" applyAlignment="1">
      <alignment horizontal="center" vertical="center"/>
    </xf>
    <xf numFmtId="0" fontId="10" fillId="0" borderId="213" xfId="0" applyFont="1" applyBorder="1" applyAlignment="1">
      <alignment horizontal="center" vertical="center"/>
    </xf>
    <xf numFmtId="0" fontId="1" fillId="0" borderId="214" xfId="0" applyFont="1" applyBorder="1" applyAlignment="1">
      <alignment horizontal="center" vertical="center"/>
    </xf>
    <xf numFmtId="0" fontId="1" fillId="0" borderId="215" xfId="0" applyFont="1" applyBorder="1" applyAlignment="1">
      <alignment horizontal="center" vertical="center"/>
    </xf>
    <xf numFmtId="0" fontId="1" fillId="0" borderId="216" xfId="0" applyFont="1" applyBorder="1" applyAlignment="1">
      <alignment horizontal="center" vertical="center"/>
    </xf>
    <xf numFmtId="0" fontId="10" fillId="0" borderId="216" xfId="0" applyFont="1" applyBorder="1" applyAlignment="1">
      <alignment horizontal="center" vertical="center"/>
    </xf>
    <xf numFmtId="0" fontId="1" fillId="0" borderId="217" xfId="0" applyFont="1" applyBorder="1" applyAlignment="1">
      <alignment horizontal="center" vertical="center"/>
    </xf>
    <xf numFmtId="0" fontId="1" fillId="0" borderId="169" xfId="0" applyFont="1" applyBorder="1" applyAlignment="1">
      <alignment horizontal="center" vertical="center" wrapText="1"/>
    </xf>
    <xf numFmtId="0" fontId="5" fillId="0" borderId="120" xfId="0" applyFont="1" applyBorder="1" applyAlignment="1">
      <alignment horizontal="center" vertical="center" wrapText="1"/>
    </xf>
    <xf numFmtId="0" fontId="9" fillId="0" borderId="120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0" fontId="9" fillId="0" borderId="218" xfId="0" applyFont="1" applyBorder="1" applyAlignment="1">
      <alignment horizontal="center" vertical="center" wrapText="1"/>
    </xf>
    <xf numFmtId="0" fontId="1" fillId="0" borderId="178" xfId="0" applyFont="1" applyBorder="1" applyAlignment="1">
      <alignment horizontal="center" vertical="center"/>
    </xf>
    <xf numFmtId="0" fontId="1" fillId="0" borderId="218" xfId="0" applyFont="1" applyBorder="1" applyAlignment="1">
      <alignment horizontal="center" vertical="center"/>
    </xf>
    <xf numFmtId="0" fontId="5" fillId="0" borderId="219" xfId="0" applyFont="1" applyBorder="1" applyAlignment="1">
      <alignment horizontal="center" vertical="center"/>
    </xf>
    <xf numFmtId="0" fontId="9" fillId="0" borderId="221" xfId="0" applyFont="1" applyBorder="1" applyAlignment="1">
      <alignment horizontal="center" vertical="center" wrapText="1"/>
    </xf>
    <xf numFmtId="0" fontId="1" fillId="0" borderId="220" xfId="0" applyFont="1" applyBorder="1" applyAlignment="1">
      <alignment horizontal="center" vertical="center"/>
    </xf>
    <xf numFmtId="0" fontId="1" fillId="0" borderId="221" xfId="0" applyFont="1" applyBorder="1" applyAlignment="1">
      <alignment horizontal="center" vertical="center"/>
    </xf>
    <xf numFmtId="0" fontId="5" fillId="0" borderId="220" xfId="0" applyFont="1" applyBorder="1" applyAlignment="1">
      <alignment horizontal="center" vertical="center"/>
    </xf>
    <xf numFmtId="0" fontId="9" fillId="0" borderId="223" xfId="0" applyFont="1" applyBorder="1" applyAlignment="1">
      <alignment horizontal="center" vertical="center" wrapText="1"/>
    </xf>
    <xf numFmtId="0" fontId="1" fillId="0" borderId="222" xfId="0" applyFont="1" applyBorder="1" applyAlignment="1">
      <alignment horizontal="center" vertical="center"/>
    </xf>
    <xf numFmtId="0" fontId="1" fillId="0" borderId="223" xfId="0" applyFont="1" applyBorder="1" applyAlignment="1">
      <alignment horizontal="center" vertical="center"/>
    </xf>
    <xf numFmtId="0" fontId="5" fillId="0" borderId="222" xfId="0" applyFont="1" applyBorder="1" applyAlignment="1">
      <alignment horizontal="center" vertical="center"/>
    </xf>
    <xf numFmtId="0" fontId="6" fillId="0" borderId="12" xfId="0" applyFont="1" applyBorder="1"/>
    <xf numFmtId="0" fontId="12" fillId="0" borderId="233" xfId="0" applyFont="1" applyBorder="1" applyAlignment="1">
      <alignment horizontal="center"/>
    </xf>
    <xf numFmtId="0" fontId="12" fillId="0" borderId="235" xfId="0" applyFont="1" applyBorder="1" applyAlignment="1">
      <alignment horizontal="center"/>
    </xf>
    <xf numFmtId="0" fontId="12" fillId="0" borderId="236" xfId="0" applyFont="1" applyBorder="1" applyAlignment="1">
      <alignment horizontal="center"/>
    </xf>
    <xf numFmtId="0" fontId="6" fillId="0" borderId="228" xfId="0" applyFont="1" applyBorder="1" applyAlignment="1">
      <alignment horizontal="center"/>
    </xf>
    <xf numFmtId="0" fontId="6" fillId="0" borderId="229" xfId="0" applyFont="1" applyBorder="1" applyAlignment="1">
      <alignment horizontal="center"/>
    </xf>
    <xf numFmtId="0" fontId="6" fillId="0" borderId="78" xfId="0" applyFont="1" applyBorder="1" applyAlignment="1">
      <alignment horizontal="center"/>
    </xf>
    <xf numFmtId="0" fontId="6" fillId="0" borderId="230" xfId="0" applyFont="1" applyBorder="1" applyAlignment="1">
      <alignment horizontal="center"/>
    </xf>
    <xf numFmtId="0" fontId="6" fillId="0" borderId="234" xfId="0" applyFont="1" applyBorder="1" applyAlignment="1">
      <alignment horizontal="center"/>
    </xf>
    <xf numFmtId="0" fontId="6" fillId="0" borderId="232" xfId="0" applyFont="1" applyBorder="1" applyAlignment="1">
      <alignment horizontal="center"/>
    </xf>
    <xf numFmtId="0" fontId="6" fillId="0" borderId="231" xfId="0" applyFont="1" applyBorder="1" applyAlignment="1">
      <alignment horizontal="center"/>
    </xf>
    <xf numFmtId="0" fontId="6" fillId="0" borderId="237" xfId="0" applyFont="1" applyBorder="1" applyAlignment="1">
      <alignment horizontal="center"/>
    </xf>
    <xf numFmtId="0" fontId="6" fillId="2" borderId="227" xfId="0" applyFont="1" applyFill="1" applyBorder="1"/>
    <xf numFmtId="0" fontId="6" fillId="2" borderId="78" xfId="0" applyFont="1" applyFill="1" applyBorder="1"/>
    <xf numFmtId="10" fontId="2" fillId="0" borderId="238" xfId="1" applyNumberFormat="1" applyBorder="1" applyAlignment="1">
      <alignment horizontal="center" vertical="center"/>
    </xf>
    <xf numFmtId="0" fontId="3" fillId="3" borderId="239" xfId="1" applyFont="1" applyFill="1" applyBorder="1" applyAlignment="1">
      <alignment horizontal="center" vertical="center"/>
    </xf>
    <xf numFmtId="0" fontId="1" fillId="0" borderId="78" xfId="0" applyFont="1" applyBorder="1" applyAlignment="1">
      <alignment horizontal="center"/>
    </xf>
    <xf numFmtId="0" fontId="1" fillId="0" borderId="228" xfId="0" applyFont="1" applyBorder="1" applyAlignment="1">
      <alignment horizontal="center"/>
    </xf>
    <xf numFmtId="0" fontId="4" fillId="0" borderId="0" xfId="1" applyFont="1" applyAlignment="1">
      <alignment vertical="center"/>
    </xf>
    <xf numFmtId="0" fontId="3" fillId="0" borderId="0" xfId="1" applyFont="1" applyAlignment="1">
      <alignment vertical="center" wrapText="1"/>
    </xf>
    <xf numFmtId="164" fontId="9" fillId="0" borderId="241" xfId="0" applyNumberFormat="1" applyFont="1" applyBorder="1" applyAlignment="1">
      <alignment horizontal="center"/>
    </xf>
    <xf numFmtId="164" fontId="9" fillId="0" borderId="140" xfId="0" applyNumberFormat="1" applyFont="1" applyBorder="1" applyAlignment="1">
      <alignment horizontal="center"/>
    </xf>
    <xf numFmtId="164" fontId="9" fillId="0" borderId="115" xfId="0" applyNumberFormat="1" applyFont="1" applyBorder="1" applyAlignment="1">
      <alignment horizontal="center"/>
    </xf>
    <xf numFmtId="164" fontId="9" fillId="0" borderId="142" xfId="0" applyNumberFormat="1" applyFont="1" applyBorder="1" applyAlignment="1">
      <alignment horizontal="center"/>
    </xf>
    <xf numFmtId="164" fontId="10" fillId="0" borderId="25" xfId="0" applyNumberFormat="1" applyFont="1" applyBorder="1" applyAlignment="1">
      <alignment horizontal="center" vertical="center"/>
    </xf>
    <xf numFmtId="0" fontId="4" fillId="6" borderId="40" xfId="1" applyFont="1" applyFill="1" applyBorder="1" applyAlignment="1">
      <alignment horizontal="center" vertical="center"/>
    </xf>
    <xf numFmtId="0" fontId="4" fillId="6" borderId="0" xfId="1" applyFont="1" applyFill="1" applyAlignment="1">
      <alignment horizontal="center" vertical="center"/>
    </xf>
    <xf numFmtId="164" fontId="1" fillId="0" borderId="37" xfId="0" applyNumberFormat="1" applyFont="1" applyBorder="1" applyAlignment="1">
      <alignment horizontal="center" vertical="center"/>
    </xf>
    <xf numFmtId="0" fontId="1" fillId="0" borderId="110" xfId="0" applyFont="1" applyBorder="1" applyAlignment="1">
      <alignment horizontal="center" vertical="center"/>
    </xf>
    <xf numFmtId="0" fontId="19" fillId="0" borderId="245" xfId="0" applyFont="1" applyBorder="1" applyAlignment="1">
      <alignment horizontal="center" vertical="center"/>
    </xf>
    <xf numFmtId="164" fontId="19" fillId="0" borderId="243" xfId="0" applyNumberFormat="1" applyFont="1" applyBorder="1" applyAlignment="1">
      <alignment horizontal="center" vertical="center"/>
    </xf>
    <xf numFmtId="0" fontId="1" fillId="0" borderId="195" xfId="0" applyFont="1" applyBorder="1" applyAlignment="1">
      <alignment horizontal="center" vertical="center"/>
    </xf>
    <xf numFmtId="0" fontId="1" fillId="0" borderId="241" xfId="0" applyFont="1" applyBorder="1" applyAlignment="1">
      <alignment horizontal="center" vertical="center"/>
    </xf>
    <xf numFmtId="0" fontId="1" fillId="0" borderId="147" xfId="0" applyFont="1" applyBorder="1" applyAlignment="1">
      <alignment horizontal="center" vertical="center"/>
    </xf>
    <xf numFmtId="164" fontId="1" fillId="0" borderId="140" xfId="0" applyNumberFormat="1" applyFont="1" applyBorder="1" applyAlignment="1">
      <alignment horizontal="center" vertical="center"/>
    </xf>
    <xf numFmtId="0" fontId="1" fillId="0" borderId="197" xfId="0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0" fontId="1" fillId="0" borderId="247" xfId="0" applyFont="1" applyBorder="1" applyAlignment="1">
      <alignment horizontal="center" vertical="center"/>
    </xf>
    <xf numFmtId="164" fontId="1" fillId="0" borderId="241" xfId="0" applyNumberFormat="1" applyFont="1" applyBorder="1" applyAlignment="1">
      <alignment horizontal="center" vertical="center"/>
    </xf>
    <xf numFmtId="0" fontId="18" fillId="0" borderId="0" xfId="0" applyFont="1"/>
    <xf numFmtId="0" fontId="6" fillId="0" borderId="40" xfId="0" applyFont="1" applyBorder="1"/>
    <xf numFmtId="0" fontId="2" fillId="0" borderId="249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127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1" fillId="0" borderId="106" xfId="0" applyFont="1" applyBorder="1" applyAlignment="1">
      <alignment horizontal="center" vertical="center"/>
    </xf>
    <xf numFmtId="0" fontId="1" fillId="0" borderId="130" xfId="0" applyFont="1" applyBorder="1" applyAlignment="1">
      <alignment horizontal="center" vertical="center"/>
    </xf>
    <xf numFmtId="0" fontId="1" fillId="0" borderId="243" xfId="0" applyFont="1" applyBorder="1" applyAlignment="1">
      <alignment horizontal="center" vertical="center"/>
    </xf>
    <xf numFmtId="0" fontId="1" fillId="0" borderId="128" xfId="0" applyFont="1" applyBorder="1" applyAlignment="1">
      <alignment horizontal="center" vertical="center"/>
    </xf>
    <xf numFmtId="0" fontId="1" fillId="0" borderId="131" xfId="0" applyFont="1" applyBorder="1" applyAlignment="1">
      <alignment horizontal="center" vertical="center"/>
    </xf>
    <xf numFmtId="0" fontId="1" fillId="0" borderId="126" xfId="0" applyFont="1" applyBorder="1" applyAlignment="1">
      <alignment horizontal="center" vertical="center"/>
    </xf>
    <xf numFmtId="0" fontId="1" fillId="0" borderId="133" xfId="0" applyFont="1" applyBorder="1" applyAlignment="1">
      <alignment horizontal="center" vertical="center"/>
    </xf>
    <xf numFmtId="0" fontId="1" fillId="0" borderId="171" xfId="0" applyFont="1" applyBorder="1" applyAlignment="1">
      <alignment horizontal="center" vertical="center"/>
    </xf>
    <xf numFmtId="0" fontId="1" fillId="0" borderId="251" xfId="0" applyFont="1" applyBorder="1" applyAlignment="1">
      <alignment horizontal="center" vertical="center"/>
    </xf>
    <xf numFmtId="0" fontId="1" fillId="0" borderId="208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78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227" xfId="0" applyFont="1" applyBorder="1" applyAlignment="1">
      <alignment horizontal="center" vertical="center"/>
    </xf>
    <xf numFmtId="0" fontId="1" fillId="0" borderId="252" xfId="0" applyFont="1" applyBorder="1" applyAlignment="1">
      <alignment horizontal="center" vertical="center"/>
    </xf>
    <xf numFmtId="0" fontId="9" fillId="0" borderId="255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256" xfId="1" applyFont="1" applyBorder="1" applyAlignment="1">
      <alignment horizontal="center" vertical="center"/>
    </xf>
    <xf numFmtId="0" fontId="1" fillId="0" borderId="257" xfId="0" applyFont="1" applyBorder="1" applyAlignment="1">
      <alignment horizontal="center" vertical="center"/>
    </xf>
    <xf numFmtId="0" fontId="2" fillId="0" borderId="256" xfId="1" applyBorder="1" applyAlignment="1">
      <alignment horizontal="center" vertical="center"/>
    </xf>
    <xf numFmtId="0" fontId="2" fillId="0" borderId="258" xfId="1" applyBorder="1" applyAlignment="1">
      <alignment horizontal="center" vertical="center"/>
    </xf>
    <xf numFmtId="0" fontId="2" fillId="0" borderId="169" xfId="1" applyBorder="1" applyAlignment="1">
      <alignment horizontal="center" vertical="center"/>
    </xf>
    <xf numFmtId="0" fontId="10" fillId="0" borderId="253" xfId="0" applyFont="1" applyBorder="1" applyAlignment="1">
      <alignment horizontal="center" vertical="center"/>
    </xf>
    <xf numFmtId="164" fontId="1" fillId="0" borderId="142" xfId="0" applyNumberFormat="1" applyFont="1" applyBorder="1" applyAlignment="1">
      <alignment horizontal="center" vertical="center"/>
    </xf>
    <xf numFmtId="0" fontId="9" fillId="0" borderId="95" xfId="0" applyFont="1" applyBorder="1" applyAlignment="1">
      <alignment horizontal="center" vertical="center"/>
    </xf>
    <xf numFmtId="164" fontId="9" fillId="0" borderId="37" xfId="0" applyNumberFormat="1" applyFont="1" applyBorder="1" applyAlignment="1">
      <alignment horizontal="center"/>
    </xf>
    <xf numFmtId="0" fontId="1" fillId="0" borderId="69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59" xfId="0" applyFont="1" applyBorder="1" applyAlignment="1">
      <alignment horizontal="center" vertical="center"/>
    </xf>
    <xf numFmtId="0" fontId="9" fillId="0" borderId="260" xfId="0" applyFont="1" applyBorder="1" applyAlignment="1">
      <alignment horizontal="center" vertical="center"/>
    </xf>
    <xf numFmtId="164" fontId="9" fillId="0" borderId="261" xfId="0" applyNumberFormat="1" applyFont="1" applyBorder="1" applyAlignment="1">
      <alignment horizontal="center"/>
    </xf>
    <xf numFmtId="0" fontId="1" fillId="0" borderId="262" xfId="0" applyFont="1" applyBorder="1" applyAlignment="1">
      <alignment horizontal="center" vertical="center"/>
    </xf>
    <xf numFmtId="0" fontId="1" fillId="0" borderId="261" xfId="0" applyFont="1" applyBorder="1" applyAlignment="1">
      <alignment horizontal="center" vertical="center"/>
    </xf>
    <xf numFmtId="0" fontId="19" fillId="0" borderId="246" xfId="0" applyFont="1" applyBorder="1" applyAlignment="1">
      <alignment horizontal="center" vertical="center"/>
    </xf>
    <xf numFmtId="164" fontId="19" fillId="0" borderId="181" xfId="0" applyNumberFormat="1" applyFont="1" applyBorder="1" applyAlignment="1">
      <alignment horizontal="center" vertical="center"/>
    </xf>
    <xf numFmtId="0" fontId="10" fillId="0" borderId="263" xfId="0" applyFont="1" applyBorder="1" applyAlignment="1">
      <alignment horizontal="center" vertical="center"/>
    </xf>
    <xf numFmtId="164" fontId="10" fillId="0" borderId="181" xfId="0" applyNumberFormat="1" applyFont="1" applyBorder="1" applyAlignment="1">
      <alignment horizontal="center"/>
    </xf>
    <xf numFmtId="0" fontId="9" fillId="0" borderId="119" xfId="0" applyFont="1" applyBorder="1" applyAlignment="1">
      <alignment horizontal="center"/>
    </xf>
    <xf numFmtId="164" fontId="9" fillId="0" borderId="165" xfId="0" applyNumberFormat="1" applyFont="1" applyBorder="1" applyAlignment="1">
      <alignment horizontal="center"/>
    </xf>
    <xf numFmtId="0" fontId="1" fillId="0" borderId="52" xfId="0" applyFont="1" applyBorder="1" applyAlignment="1">
      <alignment horizontal="center" vertical="center"/>
    </xf>
    <xf numFmtId="0" fontId="1" fillId="0" borderId="172" xfId="0" applyFont="1" applyBorder="1" applyAlignment="1">
      <alignment horizontal="center" vertical="center"/>
    </xf>
    <xf numFmtId="0" fontId="9" fillId="0" borderId="147" xfId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2" fillId="0" borderId="196" xfId="1" applyBorder="1" applyAlignment="1">
      <alignment horizontal="center" vertical="center"/>
    </xf>
    <xf numFmtId="0" fontId="9" fillId="0" borderId="166" xfId="0" applyFont="1" applyBorder="1" applyAlignment="1">
      <alignment horizontal="center"/>
    </xf>
    <xf numFmtId="164" fontId="9" fillId="0" borderId="166" xfId="0" applyNumberFormat="1" applyFont="1" applyBorder="1" applyAlignment="1">
      <alignment horizontal="center"/>
    </xf>
    <xf numFmtId="0" fontId="12" fillId="0" borderId="166" xfId="0" applyFont="1" applyBorder="1" applyAlignment="1">
      <alignment horizontal="center"/>
    </xf>
    <xf numFmtId="0" fontId="12" fillId="0" borderId="167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164" fontId="9" fillId="0" borderId="49" xfId="0" applyNumberFormat="1" applyFont="1" applyBorder="1" applyAlignment="1">
      <alignment horizontal="center"/>
    </xf>
    <xf numFmtId="0" fontId="12" fillId="0" borderId="49" xfId="0" applyFont="1" applyBorder="1" applyAlignment="1">
      <alignment horizontal="center"/>
    </xf>
    <xf numFmtId="0" fontId="12" fillId="0" borderId="144" xfId="0" applyFont="1" applyBorder="1" applyAlignment="1">
      <alignment horizontal="center"/>
    </xf>
    <xf numFmtId="0" fontId="9" fillId="0" borderId="141" xfId="0" applyFont="1" applyBorder="1" applyAlignment="1">
      <alignment horizontal="center"/>
    </xf>
    <xf numFmtId="0" fontId="12" fillId="0" borderId="50" xfId="0" applyFont="1" applyBorder="1" applyAlignment="1">
      <alignment horizontal="center"/>
    </xf>
    <xf numFmtId="0" fontId="1" fillId="0" borderId="112" xfId="0" quotePrefix="1" applyFont="1" applyBorder="1" applyAlignment="1">
      <alignment horizontal="center" vertical="center"/>
    </xf>
    <xf numFmtId="0" fontId="1" fillId="0" borderId="108" xfId="0" quotePrefix="1" applyFont="1" applyBorder="1" applyAlignment="1">
      <alignment horizontal="center" vertical="center"/>
    </xf>
    <xf numFmtId="0" fontId="1" fillId="0" borderId="115" xfId="0" quotePrefix="1" applyFont="1" applyBorder="1" applyAlignment="1">
      <alignment horizontal="center" vertical="center"/>
    </xf>
    <xf numFmtId="0" fontId="1" fillId="0" borderId="112" xfId="0" applyFont="1" applyBorder="1" applyAlignment="1">
      <alignment horizontal="center"/>
    </xf>
    <xf numFmtId="0" fontId="1" fillId="0" borderId="108" xfId="0" applyFont="1" applyBorder="1" applyAlignment="1">
      <alignment horizontal="center"/>
    </xf>
    <xf numFmtId="0" fontId="1" fillId="0" borderId="111" xfId="0" applyFont="1" applyBorder="1" applyAlignment="1">
      <alignment horizontal="center"/>
    </xf>
    <xf numFmtId="0" fontId="1" fillId="0" borderId="115" xfId="0" applyFont="1" applyBorder="1" applyAlignment="1">
      <alignment horizontal="center"/>
    </xf>
    <xf numFmtId="0" fontId="1" fillId="0" borderId="12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42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134" xfId="0" applyFont="1" applyBorder="1" applyAlignment="1">
      <alignment horizontal="center" vertical="center"/>
    </xf>
    <xf numFmtId="0" fontId="1" fillId="0" borderId="169" xfId="0" applyFont="1" applyBorder="1" applyAlignment="1">
      <alignment horizontal="center" vertical="center"/>
    </xf>
    <xf numFmtId="0" fontId="9" fillId="0" borderId="204" xfId="0" applyFont="1" applyBorder="1" applyAlignment="1">
      <alignment horizontal="center"/>
    </xf>
    <xf numFmtId="164" fontId="1" fillId="0" borderId="220" xfId="0" applyNumberFormat="1" applyFont="1" applyBorder="1" applyAlignment="1">
      <alignment horizontal="center" vertical="center"/>
    </xf>
    <xf numFmtId="164" fontId="1" fillId="0" borderId="178" xfId="0" applyNumberFormat="1" applyFont="1" applyBorder="1" applyAlignment="1">
      <alignment horizontal="center" vertical="center"/>
    </xf>
    <xf numFmtId="164" fontId="1" fillId="0" borderId="222" xfId="0" applyNumberFormat="1" applyFont="1" applyBorder="1" applyAlignment="1">
      <alignment horizontal="center" vertical="center"/>
    </xf>
    <xf numFmtId="164" fontId="1" fillId="0" borderId="43" xfId="0" applyNumberFormat="1" applyFont="1" applyBorder="1" applyAlignment="1">
      <alignment horizontal="center" vertical="center"/>
    </xf>
    <xf numFmtId="164" fontId="1" fillId="0" borderId="218" xfId="0" applyNumberFormat="1" applyFont="1" applyBorder="1" applyAlignment="1">
      <alignment horizontal="center" vertical="center"/>
    </xf>
    <xf numFmtId="164" fontId="1" fillId="0" borderId="221" xfId="0" applyNumberFormat="1" applyFont="1" applyBorder="1" applyAlignment="1">
      <alignment horizontal="center" vertical="center"/>
    </xf>
    <xf numFmtId="164" fontId="1" fillId="0" borderId="223" xfId="0" applyNumberFormat="1" applyFont="1" applyBorder="1" applyAlignment="1">
      <alignment horizontal="center" vertical="center"/>
    </xf>
    <xf numFmtId="164" fontId="1" fillId="0" borderId="120" xfId="0" applyNumberFormat="1" applyFont="1" applyBorder="1" applyAlignment="1">
      <alignment horizontal="center" vertical="center"/>
    </xf>
    <xf numFmtId="164" fontId="5" fillId="0" borderId="219" xfId="0" applyNumberFormat="1" applyFont="1" applyBorder="1" applyAlignment="1">
      <alignment horizontal="center" vertical="center"/>
    </xf>
    <xf numFmtId="164" fontId="5" fillId="0" borderId="220" xfId="0" applyNumberFormat="1" applyFont="1" applyBorder="1" applyAlignment="1">
      <alignment horizontal="center" vertical="center"/>
    </xf>
    <xf numFmtId="164" fontId="5" fillId="0" borderId="222" xfId="0" applyNumberFormat="1" applyFont="1" applyBorder="1" applyAlignment="1">
      <alignment horizontal="center" vertical="center"/>
    </xf>
    <xf numFmtId="0" fontId="1" fillId="0" borderId="108" xfId="0" applyFont="1" applyBorder="1" applyAlignment="1">
      <alignment horizontal="center" vertical="center"/>
    </xf>
    <xf numFmtId="0" fontId="2" fillId="0" borderId="202" xfId="0" applyFont="1" applyBorder="1" applyAlignment="1">
      <alignment horizontal="center" vertical="center"/>
    </xf>
    <xf numFmtId="0" fontId="2" fillId="0" borderId="174" xfId="0" applyFont="1" applyBorder="1" applyAlignment="1">
      <alignment horizontal="center" vertical="center"/>
    </xf>
    <xf numFmtId="0" fontId="0" fillId="0" borderId="14" xfId="0" applyBorder="1"/>
    <xf numFmtId="0" fontId="0" fillId="0" borderId="16" xfId="0" applyBorder="1" applyAlignment="1">
      <alignment horizontal="center" vertical="center"/>
    </xf>
    <xf numFmtId="0" fontId="0" fillId="0" borderId="172" xfId="0" applyBorder="1" applyAlignment="1">
      <alignment horizontal="center" vertical="center"/>
    </xf>
    <xf numFmtId="0" fontId="5" fillId="0" borderId="32" xfId="0" applyFont="1" applyBorder="1" applyAlignment="1">
      <alignment horizont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164" fontId="1" fillId="0" borderId="37" xfId="0" applyNumberFormat="1" applyFont="1" applyBorder="1" applyAlignment="1">
      <alignment horizontal="center"/>
    </xf>
    <xf numFmtId="0" fontId="1" fillId="0" borderId="37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20" fillId="0" borderId="3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5" fillId="0" borderId="37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3" fontId="20" fillId="0" borderId="0" xfId="0" applyNumberFormat="1" applyFont="1"/>
    <xf numFmtId="164" fontId="20" fillId="0" borderId="0" xfId="0" applyNumberFormat="1" applyFont="1"/>
    <xf numFmtId="0" fontId="20" fillId="0" borderId="0" xfId="0" applyFont="1"/>
    <xf numFmtId="3" fontId="5" fillId="0" borderId="0" xfId="0" applyNumberFormat="1" applyFont="1" applyAlignment="1">
      <alignment horizontal="center" vertical="center"/>
    </xf>
    <xf numFmtId="0" fontId="20" fillId="0" borderId="52" xfId="0" applyFont="1" applyBorder="1" applyAlignment="1">
      <alignment horizontal="center" vertical="center"/>
    </xf>
    <xf numFmtId="164" fontId="1" fillId="0" borderId="52" xfId="0" applyNumberFormat="1" applyFont="1" applyBorder="1" applyAlignment="1">
      <alignment horizontal="center" vertical="center"/>
    </xf>
    <xf numFmtId="164" fontId="5" fillId="0" borderId="52" xfId="0" applyNumberFormat="1" applyFont="1" applyBorder="1" applyAlignment="1">
      <alignment horizontal="center" vertical="center"/>
    </xf>
    <xf numFmtId="0" fontId="21" fillId="0" borderId="0" xfId="0" applyFont="1"/>
    <xf numFmtId="1" fontId="1" fillId="0" borderId="0" xfId="0" applyNumberFormat="1" applyFont="1"/>
    <xf numFmtId="0" fontId="2" fillId="3" borderId="147" xfId="1" applyFill="1" applyBorder="1" applyAlignment="1">
      <alignment horizontal="center" vertical="center"/>
    </xf>
    <xf numFmtId="0" fontId="9" fillId="3" borderId="150" xfId="1" applyFont="1" applyFill="1" applyBorder="1" applyAlignment="1">
      <alignment horizontal="center" vertical="center"/>
    </xf>
    <xf numFmtId="0" fontId="9" fillId="3" borderId="147" xfId="1" applyFont="1" applyFill="1" applyBorder="1" applyAlignment="1">
      <alignment horizontal="center" vertical="center"/>
    </xf>
    <xf numFmtId="0" fontId="9" fillId="3" borderId="197" xfId="1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/>
    </xf>
    <xf numFmtId="0" fontId="12" fillId="3" borderId="46" xfId="0" applyFont="1" applyFill="1" applyBorder="1" applyAlignment="1">
      <alignment horizontal="center"/>
    </xf>
    <xf numFmtId="0" fontId="12" fillId="3" borderId="49" xfId="0" applyFont="1" applyFill="1" applyBorder="1" applyAlignment="1">
      <alignment horizontal="center"/>
    </xf>
    <xf numFmtId="164" fontId="0" fillId="0" borderId="0" xfId="0" applyNumberFormat="1"/>
    <xf numFmtId="0" fontId="0" fillId="0" borderId="108" xfId="0" applyBorder="1"/>
    <xf numFmtId="0" fontId="0" fillId="0" borderId="108" xfId="0" applyBorder="1" applyAlignment="1">
      <alignment horizontal="center"/>
    </xf>
    <xf numFmtId="0" fontId="0" fillId="0" borderId="43" xfId="0" applyBorder="1"/>
    <xf numFmtId="0" fontId="0" fillId="0" borderId="120" xfId="0" applyBorder="1"/>
    <xf numFmtId="0" fontId="0" fillId="0" borderId="169" xfId="0" applyBorder="1" applyAlignment="1">
      <alignment horizontal="center"/>
    </xf>
    <xf numFmtId="0" fontId="0" fillId="0" borderId="171" xfId="0" applyBorder="1" applyAlignment="1">
      <alignment horizontal="center"/>
    </xf>
    <xf numFmtId="0" fontId="0" fillId="0" borderId="1" xfId="0" applyBorder="1"/>
    <xf numFmtId="2" fontId="5" fillId="0" borderId="40" xfId="0" applyNumberFormat="1" applyFont="1" applyBorder="1" applyAlignment="1">
      <alignment horizontal="center" vertical="center"/>
    </xf>
    <xf numFmtId="2" fontId="0" fillId="0" borderId="0" xfId="0" applyNumberFormat="1"/>
    <xf numFmtId="0" fontId="22" fillId="0" borderId="0" xfId="0" applyFont="1"/>
    <xf numFmtId="0" fontId="22" fillId="0" borderId="104" xfId="0" applyFont="1" applyBorder="1"/>
    <xf numFmtId="0" fontId="0" fillId="0" borderId="32" xfId="0" applyBorder="1"/>
    <xf numFmtId="3" fontId="0" fillId="0" borderId="32" xfId="0" applyNumberFormat="1" applyBorder="1"/>
    <xf numFmtId="3" fontId="0" fillId="0" borderId="33" xfId="0" applyNumberFormat="1" applyBorder="1"/>
    <xf numFmtId="0" fontId="0" fillId="0" borderId="129" xfId="0" applyBorder="1"/>
    <xf numFmtId="0" fontId="0" fillId="0" borderId="12" xfId="0" applyBorder="1"/>
    <xf numFmtId="43" fontId="0" fillId="0" borderId="15" xfId="2" applyFont="1" applyBorder="1"/>
    <xf numFmtId="0" fontId="0" fillId="0" borderId="55" xfId="0" applyBorder="1"/>
    <xf numFmtId="0" fontId="0" fillId="0" borderId="135" xfId="0" applyBorder="1"/>
    <xf numFmtId="43" fontId="0" fillId="0" borderId="128" xfId="2" applyFont="1" applyBorder="1"/>
    <xf numFmtId="164" fontId="0" fillId="0" borderId="172" xfId="0" applyNumberFormat="1" applyBorder="1"/>
    <xf numFmtId="0" fontId="0" fillId="0" borderId="172" xfId="0" applyBorder="1"/>
    <xf numFmtId="0" fontId="0" fillId="0" borderId="180" xfId="0" applyBorder="1"/>
    <xf numFmtId="0" fontId="0" fillId="0" borderId="0" xfId="0" applyAlignment="1">
      <alignment horizontal="center"/>
    </xf>
    <xf numFmtId="43" fontId="0" fillId="0" borderId="0" xfId="0" applyNumberFormat="1"/>
    <xf numFmtId="0" fontId="1" fillId="0" borderId="171" xfId="0" applyFont="1" applyBorder="1" applyAlignment="1">
      <alignment horizontal="center"/>
    </xf>
    <xf numFmtId="0" fontId="5" fillId="0" borderId="171" xfId="0" applyFont="1" applyBorder="1" applyAlignment="1">
      <alignment horizontal="center"/>
    </xf>
    <xf numFmtId="1" fontId="1" fillId="0" borderId="171" xfId="0" applyNumberFormat="1" applyFont="1" applyBorder="1" applyAlignment="1">
      <alignment horizontal="center"/>
    </xf>
    <xf numFmtId="0" fontId="1" fillId="0" borderId="171" xfId="0" applyFont="1" applyBorder="1"/>
    <xf numFmtId="164" fontId="1" fillId="0" borderId="171" xfId="0" applyNumberFormat="1" applyFont="1" applyBorder="1"/>
    <xf numFmtId="164" fontId="5" fillId="0" borderId="171" xfId="0" applyNumberFormat="1" applyFont="1" applyBorder="1"/>
    <xf numFmtId="0" fontId="0" fillId="0" borderId="37" xfId="0" applyBorder="1"/>
    <xf numFmtId="0" fontId="1" fillId="4" borderId="2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3" fillId="3" borderId="277" xfId="0" applyFont="1" applyFill="1" applyBorder="1" applyAlignment="1">
      <alignment horizontal="center" vertical="center"/>
    </xf>
    <xf numFmtId="0" fontId="1" fillId="3" borderId="93" xfId="0" applyFont="1" applyFill="1" applyBorder="1"/>
    <xf numFmtId="0" fontId="1" fillId="3" borderId="88" xfId="0" applyFont="1" applyFill="1" applyBorder="1"/>
    <xf numFmtId="0" fontId="1" fillId="3" borderId="177" xfId="0" applyFont="1" applyFill="1" applyBorder="1"/>
    <xf numFmtId="0" fontId="0" fillId="3" borderId="90" xfId="0" applyFill="1" applyBorder="1"/>
    <xf numFmtId="0" fontId="6" fillId="0" borderId="271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275" xfId="0" applyFont="1" applyBorder="1" applyAlignment="1">
      <alignment horizontal="center" vertical="center"/>
    </xf>
    <xf numFmtId="0" fontId="0" fillId="0" borderId="142" xfId="0" applyBorder="1" applyAlignment="1">
      <alignment horizontal="center" vertical="center"/>
    </xf>
    <xf numFmtId="0" fontId="6" fillId="0" borderId="26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76" xfId="0" applyFont="1" applyBorder="1" applyAlignment="1">
      <alignment horizontal="center" vertical="center"/>
    </xf>
    <xf numFmtId="0" fontId="6" fillId="0" borderId="109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20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78" xfId="0" applyBorder="1" applyAlignment="1">
      <alignment horizontal="center" vertical="center"/>
    </xf>
    <xf numFmtId="0" fontId="6" fillId="0" borderId="162" xfId="0" applyFont="1" applyBorder="1" applyAlignment="1">
      <alignment horizontal="center" vertical="center"/>
    </xf>
    <xf numFmtId="0" fontId="0" fillId="0" borderId="203" xfId="0" applyBorder="1" applyAlignment="1">
      <alignment horizontal="center" vertical="center"/>
    </xf>
    <xf numFmtId="0" fontId="1" fillId="4" borderId="279" xfId="0" applyFont="1" applyFill="1" applyBorder="1" applyAlignment="1">
      <alignment horizontal="center" vertical="center"/>
    </xf>
    <xf numFmtId="0" fontId="1" fillId="4" borderId="272" xfId="0" applyFont="1" applyFill="1" applyBorder="1" applyAlignment="1">
      <alignment horizontal="center" vertical="center"/>
    </xf>
    <xf numFmtId="0" fontId="1" fillId="4" borderId="270" xfId="0" applyFont="1" applyFill="1" applyBorder="1" applyAlignment="1">
      <alignment horizontal="center" vertical="center"/>
    </xf>
    <xf numFmtId="0" fontId="1" fillId="4" borderId="273" xfId="0" applyFont="1" applyFill="1" applyBorder="1" applyAlignment="1">
      <alignment horizontal="center" vertical="center"/>
    </xf>
    <xf numFmtId="0" fontId="1" fillId="0" borderId="274" xfId="0" applyFont="1" applyBorder="1" applyAlignment="1">
      <alignment horizontal="left" vertical="center"/>
    </xf>
    <xf numFmtId="0" fontId="1" fillId="0" borderId="269" xfId="0" applyFont="1" applyBorder="1" applyAlignment="1">
      <alignment horizontal="left" vertical="center"/>
    </xf>
    <xf numFmtId="0" fontId="1" fillId="0" borderId="13" xfId="0" applyFont="1" applyBorder="1" applyAlignment="1">
      <alignment horizontal="left"/>
    </xf>
    <xf numFmtId="0" fontId="0" fillId="0" borderId="281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80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1" fillId="0" borderId="134" xfId="0" applyFont="1" applyBorder="1" applyAlignment="1">
      <alignment horizontal="left" vertical="center"/>
    </xf>
    <xf numFmtId="0" fontId="24" fillId="0" borderId="222" xfId="0" applyFont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9" fillId="7" borderId="218" xfId="0" applyFont="1" applyFill="1" applyBorder="1" applyAlignment="1">
      <alignment horizontal="center" vertical="center" wrapText="1"/>
    </xf>
    <xf numFmtId="0" fontId="9" fillId="7" borderId="221" xfId="0" applyFont="1" applyFill="1" applyBorder="1" applyAlignment="1">
      <alignment horizontal="center" vertical="center" wrapText="1"/>
    </xf>
    <xf numFmtId="0" fontId="9" fillId="7" borderId="120" xfId="0" applyFont="1" applyFill="1" applyBorder="1" applyAlignment="1">
      <alignment horizontal="center" vertical="center" wrapText="1"/>
    </xf>
    <xf numFmtId="164" fontId="5" fillId="0" borderId="0" xfId="0" applyNumberFormat="1" applyFont="1"/>
    <xf numFmtId="0" fontId="24" fillId="0" borderId="22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3" fillId="0" borderId="62" xfId="1" applyFont="1" applyBorder="1" applyAlignment="1">
      <alignment horizontal="center" vertical="center"/>
    </xf>
    <xf numFmtId="0" fontId="3" fillId="0" borderId="64" xfId="1" applyFont="1" applyBorder="1" applyAlignment="1">
      <alignment horizontal="center" vertical="center"/>
    </xf>
    <xf numFmtId="0" fontId="3" fillId="0" borderId="57" xfId="1" applyFont="1" applyBorder="1" applyAlignment="1">
      <alignment horizontal="center" vertical="center"/>
    </xf>
    <xf numFmtId="0" fontId="3" fillId="0" borderId="58" xfId="1" applyFont="1" applyBorder="1" applyAlignment="1">
      <alignment horizontal="center" vertical="center"/>
    </xf>
    <xf numFmtId="0" fontId="3" fillId="0" borderId="56" xfId="1" applyFont="1" applyBorder="1" applyAlignment="1">
      <alignment horizontal="center" vertical="center" wrapText="1"/>
    </xf>
    <xf numFmtId="0" fontId="2" fillId="0" borderId="59" xfId="1" applyBorder="1" applyAlignment="1">
      <alignment horizontal="center" vertical="center"/>
    </xf>
    <xf numFmtId="0" fontId="2" fillId="0" borderId="60" xfId="1" applyBorder="1" applyAlignment="1">
      <alignment horizontal="center" vertical="center"/>
    </xf>
    <xf numFmtId="0" fontId="2" fillId="0" borderId="58" xfId="1" applyBorder="1" applyAlignment="1">
      <alignment horizontal="center" vertical="center"/>
    </xf>
    <xf numFmtId="0" fontId="2" fillId="0" borderId="61" xfId="1" applyBorder="1" applyAlignment="1">
      <alignment horizontal="center" vertical="center"/>
    </xf>
    <xf numFmtId="0" fontId="2" fillId="0" borderId="53" xfId="0" applyFont="1" applyBorder="1"/>
    <xf numFmtId="164" fontId="2" fillId="0" borderId="73" xfId="0" applyNumberFormat="1" applyFont="1" applyBorder="1" applyAlignment="1">
      <alignment horizontal="center"/>
    </xf>
    <xf numFmtId="164" fontId="2" fillId="0" borderId="42" xfId="0" applyNumberFormat="1" applyFont="1" applyBorder="1" applyAlignment="1">
      <alignment horizontal="center"/>
    </xf>
    <xf numFmtId="0" fontId="2" fillId="0" borderId="66" xfId="0" applyFont="1" applyBorder="1" applyAlignment="1">
      <alignment horizontal="center"/>
    </xf>
    <xf numFmtId="0" fontId="2" fillId="0" borderId="67" xfId="0" applyFont="1" applyBorder="1" applyAlignment="1">
      <alignment horizontal="center"/>
    </xf>
    <xf numFmtId="0" fontId="2" fillId="0" borderId="70" xfId="0" applyFont="1" applyBorder="1" applyAlignment="1">
      <alignment horizontal="center"/>
    </xf>
    <xf numFmtId="0" fontId="1" fillId="0" borderId="53" xfId="0" applyFont="1" applyBorder="1"/>
    <xf numFmtId="0" fontId="2" fillId="0" borderId="6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8" xfId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6" fillId="0" borderId="32" xfId="0" applyFont="1" applyBorder="1"/>
    <xf numFmtId="3" fontId="2" fillId="0" borderId="10" xfId="1" applyNumberFormat="1" applyBorder="1" applyAlignment="1">
      <alignment horizontal="center" vertical="center"/>
    </xf>
    <xf numFmtId="0" fontId="2" fillId="0" borderId="18" xfId="1" applyBorder="1" applyAlignment="1">
      <alignment horizontal="center" vertical="center"/>
    </xf>
    <xf numFmtId="0" fontId="2" fillId="0" borderId="35" xfId="1" applyBorder="1" applyAlignment="1">
      <alignment horizontal="center" vertical="center"/>
    </xf>
    <xf numFmtId="0" fontId="1" fillId="0" borderId="35" xfId="0" applyFont="1" applyBorder="1" applyAlignment="1">
      <alignment horizontal="center" wrapText="1"/>
    </xf>
    <xf numFmtId="0" fontId="1" fillId="0" borderId="199" xfId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/>
    </xf>
    <xf numFmtId="0" fontId="25" fillId="0" borderId="53" xfId="0" applyFont="1" applyBorder="1"/>
    <xf numFmtId="0" fontId="25" fillId="0" borderId="43" xfId="0" applyFont="1" applyBorder="1" applyAlignment="1">
      <alignment horizontal="center"/>
    </xf>
    <xf numFmtId="0" fontId="25" fillId="0" borderId="178" xfId="0" applyFont="1" applyBorder="1" applyAlignment="1">
      <alignment horizontal="center"/>
    </xf>
    <xf numFmtId="164" fontId="25" fillId="0" borderId="43" xfId="0" applyNumberFormat="1" applyFont="1" applyBorder="1" applyAlignment="1">
      <alignment horizontal="center"/>
    </xf>
    <xf numFmtId="0" fontId="25" fillId="0" borderId="63" xfId="0" applyFont="1" applyBorder="1"/>
    <xf numFmtId="0" fontId="25" fillId="0" borderId="55" xfId="0" applyFont="1" applyBorder="1" applyAlignment="1">
      <alignment horizontal="center"/>
    </xf>
    <xf numFmtId="0" fontId="25" fillId="0" borderId="179" xfId="0" applyFont="1" applyBorder="1" applyAlignment="1">
      <alignment horizontal="center"/>
    </xf>
    <xf numFmtId="0" fontId="25" fillId="0" borderId="5" xfId="1" applyFont="1" applyBorder="1" applyAlignment="1">
      <alignment horizontal="center" vertical="center" wrapText="1"/>
    </xf>
    <xf numFmtId="0" fontId="25" fillId="0" borderId="35" xfId="1" applyFont="1" applyBorder="1" applyAlignment="1">
      <alignment horizontal="center" vertical="center" wrapText="1"/>
    </xf>
    <xf numFmtId="0" fontId="2" fillId="0" borderId="40" xfId="0" applyFont="1" applyBorder="1"/>
    <xf numFmtId="0" fontId="1" fillId="9" borderId="7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9" borderId="7" xfId="0" applyFont="1" applyFill="1" applyBorder="1" applyAlignment="1">
      <alignment horizontal="center" vertical="center"/>
    </xf>
    <xf numFmtId="164" fontId="9" fillId="9" borderId="7" xfId="0" applyNumberFormat="1" applyFont="1" applyFill="1" applyBorder="1" applyAlignment="1">
      <alignment horizontal="center" vertical="center"/>
    </xf>
    <xf numFmtId="0" fontId="9" fillId="9" borderId="226" xfId="0" applyFont="1" applyFill="1" applyBorder="1" applyAlignment="1">
      <alignment horizontal="center" vertical="center"/>
    </xf>
    <xf numFmtId="164" fontId="9" fillId="9" borderId="226" xfId="0" applyNumberFormat="1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/>
    </xf>
    <xf numFmtId="0" fontId="1" fillId="9" borderId="162" xfId="0" applyFont="1" applyFill="1" applyBorder="1" applyAlignment="1">
      <alignment horizontal="center" vertical="center"/>
    </xf>
    <xf numFmtId="0" fontId="1" fillId="9" borderId="283" xfId="0" applyFont="1" applyFill="1" applyBorder="1" applyAlignment="1">
      <alignment horizontal="center" vertical="center"/>
    </xf>
    <xf numFmtId="0" fontId="1" fillId="9" borderId="284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43" fontId="2" fillId="0" borderId="31" xfId="2" applyFont="1" applyBorder="1" applyAlignment="1">
      <alignment horizontal="center"/>
    </xf>
    <xf numFmtId="43" fontId="2" fillId="0" borderId="7" xfId="2" applyFont="1" applyBorder="1" applyAlignment="1">
      <alignment horizontal="center"/>
    </xf>
    <xf numFmtId="43" fontId="15" fillId="0" borderId="31" xfId="2" applyFont="1" applyBorder="1" applyAlignment="1">
      <alignment horizontal="center" vertical="center"/>
    </xf>
    <xf numFmtId="43" fontId="15" fillId="0" borderId="7" xfId="2" applyFont="1" applyBorder="1" applyAlignment="1">
      <alignment horizontal="center" vertical="center"/>
    </xf>
    <xf numFmtId="43" fontId="2" fillId="0" borderId="31" xfId="2" applyFont="1" applyBorder="1" applyAlignment="1">
      <alignment horizontal="center" vertical="center"/>
    </xf>
    <xf numFmtId="43" fontId="2" fillId="0" borderId="7" xfId="2" applyFont="1" applyBorder="1" applyAlignment="1">
      <alignment horizontal="center" vertical="center"/>
    </xf>
    <xf numFmtId="43" fontId="15" fillId="0" borderId="151" xfId="2" applyFont="1" applyBorder="1" applyAlignment="1">
      <alignment horizontal="center"/>
    </xf>
    <xf numFmtId="43" fontId="15" fillId="0" borderId="149" xfId="2" applyFont="1" applyBorder="1" applyAlignment="1">
      <alignment horizontal="center"/>
    </xf>
    <xf numFmtId="0" fontId="1" fillId="9" borderId="226" xfId="0" applyFont="1" applyFill="1" applyBorder="1" applyAlignment="1">
      <alignment horizontal="center" vertical="center"/>
    </xf>
    <xf numFmtId="0" fontId="1" fillId="9" borderId="226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43" fontId="14" fillId="0" borderId="0" xfId="2" applyFont="1" applyBorder="1" applyAlignment="1">
      <alignment horizontal="center" vertical="center"/>
    </xf>
    <xf numFmtId="164" fontId="9" fillId="0" borderId="143" xfId="0" applyNumberFormat="1" applyFont="1" applyBorder="1" applyAlignment="1">
      <alignment horizontal="center"/>
    </xf>
    <xf numFmtId="164" fontId="9" fillId="0" borderId="143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9" borderId="143" xfId="0" applyFont="1" applyFill="1" applyBorder="1" applyAlignment="1">
      <alignment horizontal="center" vertical="center"/>
    </xf>
    <xf numFmtId="0" fontId="1" fillId="9" borderId="276" xfId="0" applyFont="1" applyFill="1" applyBorder="1" applyAlignment="1">
      <alignment horizontal="center" vertical="center"/>
    </xf>
    <xf numFmtId="0" fontId="1" fillId="9" borderId="276" xfId="0" quotePrefix="1" applyFont="1" applyFill="1" applyBorder="1" applyAlignment="1">
      <alignment horizontal="center" vertical="center"/>
    </xf>
    <xf numFmtId="0" fontId="1" fillId="9" borderId="264" xfId="0" applyFont="1" applyFill="1" applyBorder="1" applyAlignment="1">
      <alignment horizontal="center" vertical="center"/>
    </xf>
    <xf numFmtId="0" fontId="5" fillId="8" borderId="46" xfId="0" applyFont="1" applyFill="1" applyBorder="1" applyAlignment="1">
      <alignment horizontal="center" vertical="center"/>
    </xf>
    <xf numFmtId="0" fontId="5" fillId="8" borderId="145" xfId="0" applyFont="1" applyFill="1" applyBorder="1" applyAlignment="1">
      <alignment horizontal="center" vertical="center"/>
    </xf>
    <xf numFmtId="43" fontId="1" fillId="0" borderId="37" xfId="0" applyNumberFormat="1" applyFont="1" applyBorder="1" applyAlignment="1">
      <alignment horizontal="center" vertical="center"/>
    </xf>
    <xf numFmtId="0" fontId="5" fillId="0" borderId="171" xfId="0" applyFont="1" applyBorder="1" applyAlignment="1">
      <alignment horizontal="center" vertical="center"/>
    </xf>
    <xf numFmtId="0" fontId="5" fillId="0" borderId="115" xfId="0" applyFont="1" applyBorder="1" applyAlignment="1">
      <alignment horizontal="center" vertical="center"/>
    </xf>
    <xf numFmtId="43" fontId="1" fillId="0" borderId="39" xfId="2" applyFont="1" applyBorder="1" applyAlignment="1">
      <alignment horizontal="center" vertical="center"/>
    </xf>
    <xf numFmtId="43" fontId="5" fillId="0" borderId="250" xfId="2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172" xfId="0" applyFont="1" applyBorder="1" applyAlignment="1">
      <alignment horizontal="center" vertical="center"/>
    </xf>
    <xf numFmtId="43" fontId="5" fillId="0" borderId="35" xfId="0" applyNumberFormat="1" applyFont="1" applyBorder="1" applyAlignment="1">
      <alignment horizontal="center" vertical="center"/>
    </xf>
    <xf numFmtId="43" fontId="29" fillId="0" borderId="264" xfId="2" applyFont="1" applyBorder="1" applyAlignment="1"/>
    <xf numFmtId="0" fontId="1" fillId="0" borderId="40" xfId="0" applyFont="1" applyBorder="1"/>
    <xf numFmtId="0" fontId="2" fillId="0" borderId="176" xfId="0" applyFont="1" applyBorder="1" applyAlignment="1">
      <alignment horizontal="center" vertical="center"/>
    </xf>
    <xf numFmtId="0" fontId="5" fillId="0" borderId="202" xfId="0" applyFont="1" applyBorder="1" applyAlignment="1">
      <alignment horizontal="center" vertical="center"/>
    </xf>
    <xf numFmtId="0" fontId="5" fillId="0" borderId="249" xfId="0" applyFont="1" applyBorder="1" applyAlignment="1">
      <alignment horizontal="center" vertical="center"/>
    </xf>
    <xf numFmtId="0" fontId="5" fillId="0" borderId="138" xfId="0" applyFont="1" applyBorder="1" applyAlignment="1">
      <alignment horizontal="center" vertical="center"/>
    </xf>
    <xf numFmtId="0" fontId="5" fillId="0" borderId="250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43" fontId="14" fillId="0" borderId="300" xfId="2" applyFont="1" applyBorder="1" applyAlignment="1">
      <alignment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 vertical="center"/>
    </xf>
    <xf numFmtId="164" fontId="9" fillId="4" borderId="7" xfId="0" applyNumberFormat="1" applyFont="1" applyFill="1" applyBorder="1" applyAlignment="1">
      <alignment horizontal="center" vertical="center"/>
    </xf>
    <xf numFmtId="0" fontId="1" fillId="4" borderId="162" xfId="0" applyFont="1" applyFill="1" applyBorder="1" applyAlignment="1">
      <alignment horizontal="center" vertical="center"/>
    </xf>
    <xf numFmtId="0" fontId="1" fillId="4" borderId="276" xfId="0" applyFont="1" applyFill="1" applyBorder="1" applyAlignment="1">
      <alignment horizontal="center" vertical="center"/>
    </xf>
    <xf numFmtId="0" fontId="3" fillId="7" borderId="282" xfId="0" applyFont="1" applyFill="1" applyBorder="1" applyAlignment="1">
      <alignment horizontal="center" vertical="center"/>
    </xf>
    <xf numFmtId="0" fontId="3" fillId="7" borderId="282" xfId="0" applyFont="1" applyFill="1" applyBorder="1" applyAlignment="1">
      <alignment horizontal="center" vertical="center" wrapText="1"/>
    </xf>
    <xf numFmtId="0" fontId="1" fillId="4" borderId="284" xfId="0" applyFont="1" applyFill="1" applyBorder="1" applyAlignment="1">
      <alignment horizontal="center" vertical="center"/>
    </xf>
    <xf numFmtId="0" fontId="1" fillId="4" borderId="283" xfId="0" applyFont="1" applyFill="1" applyBorder="1" applyAlignment="1">
      <alignment horizontal="center" vertical="center"/>
    </xf>
    <xf numFmtId="0" fontId="1" fillId="4" borderId="276" xfId="0" quotePrefix="1" applyFont="1" applyFill="1" applyBorder="1" applyAlignment="1">
      <alignment horizontal="center" vertical="center"/>
    </xf>
    <xf numFmtId="0" fontId="31" fillId="11" borderId="7" xfId="0" applyFont="1" applyFill="1" applyBorder="1" applyAlignment="1">
      <alignment horizontal="center" vertical="center"/>
    </xf>
    <xf numFmtId="0" fontId="31" fillId="11" borderId="7" xfId="0" applyFont="1" applyFill="1" applyBorder="1" applyAlignment="1">
      <alignment horizontal="center"/>
    </xf>
    <xf numFmtId="164" fontId="31" fillId="11" borderId="7" xfId="0" applyNumberFormat="1" applyFont="1" applyFill="1" applyBorder="1" applyAlignment="1">
      <alignment horizontal="center" vertical="center"/>
    </xf>
    <xf numFmtId="0" fontId="31" fillId="11" borderId="0" xfId="0" applyFont="1" applyFill="1" applyAlignment="1">
      <alignment horizontal="center" vertical="center"/>
    </xf>
    <xf numFmtId="0" fontId="31" fillId="11" borderId="276" xfId="0" applyFont="1" applyFill="1" applyBorder="1" applyAlignment="1">
      <alignment horizontal="center" vertical="center"/>
    </xf>
    <xf numFmtId="0" fontId="31" fillId="11" borderId="283" xfId="0" applyFont="1" applyFill="1" applyBorder="1" applyAlignment="1">
      <alignment horizontal="center" vertical="center"/>
    </xf>
    <xf numFmtId="0" fontId="31" fillId="11" borderId="162" xfId="0" applyFont="1" applyFill="1" applyBorder="1" applyAlignment="1">
      <alignment horizontal="center" vertical="center"/>
    </xf>
    <xf numFmtId="0" fontId="31" fillId="11" borderId="284" xfId="0" applyFont="1" applyFill="1" applyBorder="1" applyAlignment="1">
      <alignment horizontal="center" vertical="center"/>
    </xf>
    <xf numFmtId="0" fontId="31" fillId="11" borderId="276" xfId="0" quotePrefix="1" applyFont="1" applyFill="1" applyBorder="1" applyAlignment="1">
      <alignment horizontal="center" vertical="center"/>
    </xf>
    <xf numFmtId="0" fontId="1" fillId="12" borderId="7" xfId="0" applyFont="1" applyFill="1" applyBorder="1" applyAlignment="1">
      <alignment horizontal="center" vertical="center"/>
    </xf>
    <xf numFmtId="0" fontId="1" fillId="12" borderId="7" xfId="0" applyFont="1" applyFill="1" applyBorder="1" applyAlignment="1">
      <alignment horizontal="center"/>
    </xf>
    <xf numFmtId="0" fontId="9" fillId="12" borderId="7" xfId="0" applyFont="1" applyFill="1" applyBorder="1" applyAlignment="1">
      <alignment horizontal="center" vertical="center"/>
    </xf>
    <xf numFmtId="164" fontId="9" fillId="12" borderId="7" xfId="0" applyNumberFormat="1" applyFont="1" applyFill="1" applyBorder="1" applyAlignment="1">
      <alignment horizontal="center" vertical="center"/>
    </xf>
    <xf numFmtId="0" fontId="1" fillId="12" borderId="162" xfId="0" applyFont="1" applyFill="1" applyBorder="1" applyAlignment="1">
      <alignment horizontal="center" vertical="center"/>
    </xf>
    <xf numFmtId="0" fontId="1" fillId="12" borderId="276" xfId="0" applyFont="1" applyFill="1" applyBorder="1" applyAlignment="1">
      <alignment horizontal="center" vertical="center"/>
    </xf>
    <xf numFmtId="0" fontId="9" fillId="12" borderId="226" xfId="0" applyFont="1" applyFill="1" applyBorder="1" applyAlignment="1">
      <alignment horizontal="center" vertical="center"/>
    </xf>
    <xf numFmtId="164" fontId="9" fillId="12" borderId="226" xfId="0" applyNumberFormat="1" applyFont="1" applyFill="1" applyBorder="1" applyAlignment="1">
      <alignment horizontal="center" vertical="center"/>
    </xf>
    <xf numFmtId="0" fontId="31" fillId="13" borderId="7" xfId="0" applyFont="1" applyFill="1" applyBorder="1" applyAlignment="1">
      <alignment horizontal="center" vertical="center"/>
    </xf>
    <xf numFmtId="0" fontId="31" fillId="13" borderId="7" xfId="0" applyFont="1" applyFill="1" applyBorder="1" applyAlignment="1">
      <alignment horizontal="center"/>
    </xf>
    <xf numFmtId="164" fontId="31" fillId="13" borderId="7" xfId="0" applyNumberFormat="1" applyFont="1" applyFill="1" applyBorder="1" applyAlignment="1">
      <alignment horizontal="center" vertical="center"/>
    </xf>
    <xf numFmtId="0" fontId="31" fillId="13" borderId="162" xfId="0" applyFont="1" applyFill="1" applyBorder="1" applyAlignment="1">
      <alignment horizontal="center" vertical="center"/>
    </xf>
    <xf numFmtId="0" fontId="31" fillId="13" borderId="276" xfId="0" applyFont="1" applyFill="1" applyBorder="1" applyAlignment="1">
      <alignment horizontal="center" vertical="center"/>
    </xf>
    <xf numFmtId="0" fontId="31" fillId="13" borderId="226" xfId="0" applyFont="1" applyFill="1" applyBorder="1" applyAlignment="1">
      <alignment horizontal="center" vertical="center"/>
    </xf>
    <xf numFmtId="164" fontId="31" fillId="13" borderId="226" xfId="0" applyNumberFormat="1" applyFont="1" applyFill="1" applyBorder="1" applyAlignment="1">
      <alignment horizontal="center" vertical="center"/>
    </xf>
    <xf numFmtId="0" fontId="1" fillId="14" borderId="7" xfId="0" applyFont="1" applyFill="1" applyBorder="1" applyAlignment="1">
      <alignment horizontal="center" vertical="center"/>
    </xf>
    <xf numFmtId="0" fontId="1" fillId="14" borderId="7" xfId="0" applyFont="1" applyFill="1" applyBorder="1" applyAlignment="1">
      <alignment horizontal="center"/>
    </xf>
    <xf numFmtId="0" fontId="9" fillId="14" borderId="7" xfId="0" applyFont="1" applyFill="1" applyBorder="1" applyAlignment="1">
      <alignment horizontal="center" vertical="center"/>
    </xf>
    <xf numFmtId="164" fontId="9" fillId="14" borderId="7" xfId="0" applyNumberFormat="1" applyFont="1" applyFill="1" applyBorder="1" applyAlignment="1">
      <alignment horizontal="center" vertical="center"/>
    </xf>
    <xf numFmtId="0" fontId="1" fillId="14" borderId="162" xfId="0" applyFont="1" applyFill="1" applyBorder="1" applyAlignment="1">
      <alignment horizontal="center" vertical="center"/>
    </xf>
    <xf numFmtId="0" fontId="1" fillId="14" borderId="276" xfId="0" applyFont="1" applyFill="1" applyBorder="1" applyAlignment="1">
      <alignment horizontal="center" vertical="center"/>
    </xf>
    <xf numFmtId="0" fontId="1" fillId="14" borderId="7" xfId="0" applyFont="1" applyFill="1" applyBorder="1" applyAlignment="1">
      <alignment horizontal="center" wrapText="1"/>
    </xf>
    <xf numFmtId="0" fontId="9" fillId="14" borderId="226" xfId="0" applyFont="1" applyFill="1" applyBorder="1" applyAlignment="1">
      <alignment horizontal="center" vertical="center"/>
    </xf>
    <xf numFmtId="164" fontId="9" fillId="14" borderId="226" xfId="0" applyNumberFormat="1" applyFont="1" applyFill="1" applyBorder="1" applyAlignment="1">
      <alignment horizontal="center" vertical="center"/>
    </xf>
    <xf numFmtId="0" fontId="1" fillId="15" borderId="7" xfId="0" applyFont="1" applyFill="1" applyBorder="1" applyAlignment="1">
      <alignment horizontal="center" vertical="center"/>
    </xf>
    <xf numFmtId="0" fontId="1" fillId="15" borderId="7" xfId="0" applyFont="1" applyFill="1" applyBorder="1" applyAlignment="1">
      <alignment horizontal="center"/>
    </xf>
    <xf numFmtId="0" fontId="9" fillId="15" borderId="226" xfId="0" applyFont="1" applyFill="1" applyBorder="1" applyAlignment="1">
      <alignment horizontal="center" vertical="center"/>
    </xf>
    <xf numFmtId="164" fontId="9" fillId="15" borderId="226" xfId="0" applyNumberFormat="1" applyFont="1" applyFill="1" applyBorder="1" applyAlignment="1">
      <alignment horizontal="center" vertical="center"/>
    </xf>
    <xf numFmtId="0" fontId="1" fillId="15" borderId="162" xfId="0" applyFont="1" applyFill="1" applyBorder="1" applyAlignment="1">
      <alignment horizontal="center" vertical="center"/>
    </xf>
    <xf numFmtId="0" fontId="1" fillId="15" borderId="276" xfId="0" applyFont="1" applyFill="1" applyBorder="1" applyAlignment="1">
      <alignment horizontal="center" vertical="center"/>
    </xf>
    <xf numFmtId="0" fontId="9" fillId="15" borderId="7" xfId="0" applyFont="1" applyFill="1" applyBorder="1" applyAlignment="1">
      <alignment horizontal="center" vertical="center"/>
    </xf>
    <xf numFmtId="164" fontId="9" fillId="15" borderId="7" xfId="0" applyNumberFormat="1" applyFont="1" applyFill="1" applyBorder="1" applyAlignment="1">
      <alignment horizontal="center" vertical="center"/>
    </xf>
    <xf numFmtId="0" fontId="1" fillId="15" borderId="7" xfId="0" applyFont="1" applyFill="1" applyBorder="1" applyAlignment="1">
      <alignment horizontal="center" wrapText="1"/>
    </xf>
    <xf numFmtId="0" fontId="9" fillId="15" borderId="7" xfId="0" applyFont="1" applyFill="1" applyBorder="1" applyAlignment="1">
      <alignment horizontal="center"/>
    </xf>
    <xf numFmtId="0" fontId="31" fillId="16" borderId="7" xfId="0" applyFont="1" applyFill="1" applyBorder="1" applyAlignment="1">
      <alignment horizontal="center" vertical="center"/>
    </xf>
    <xf numFmtId="0" fontId="31" fillId="16" borderId="7" xfId="0" applyFont="1" applyFill="1" applyBorder="1" applyAlignment="1">
      <alignment horizontal="center"/>
    </xf>
    <xf numFmtId="164" fontId="31" fillId="16" borderId="7" xfId="0" applyNumberFormat="1" applyFont="1" applyFill="1" applyBorder="1" applyAlignment="1">
      <alignment horizontal="center" vertical="center"/>
    </xf>
    <xf numFmtId="0" fontId="31" fillId="16" borderId="162" xfId="0" applyFont="1" applyFill="1" applyBorder="1" applyAlignment="1">
      <alignment horizontal="center" vertical="center"/>
    </xf>
    <xf numFmtId="0" fontId="31" fillId="16" borderId="276" xfId="0" applyFont="1" applyFill="1" applyBorder="1" applyAlignment="1">
      <alignment horizontal="center" vertical="center"/>
    </xf>
    <xf numFmtId="0" fontId="31" fillId="16" borderId="226" xfId="0" applyFont="1" applyFill="1" applyBorder="1" applyAlignment="1">
      <alignment horizontal="center" vertical="center"/>
    </xf>
    <xf numFmtId="164" fontId="31" fillId="16" borderId="226" xfId="0" applyNumberFormat="1" applyFont="1" applyFill="1" applyBorder="1" applyAlignment="1">
      <alignment horizontal="center" vertical="center"/>
    </xf>
    <xf numFmtId="0" fontId="31" fillId="16" borderId="7" xfId="0" applyFont="1" applyFill="1" applyBorder="1" applyAlignment="1">
      <alignment horizontal="center" wrapText="1"/>
    </xf>
    <xf numFmtId="0" fontId="1" fillId="17" borderId="7" xfId="0" applyFont="1" applyFill="1" applyBorder="1" applyAlignment="1">
      <alignment horizontal="center" vertical="center"/>
    </xf>
    <xf numFmtId="0" fontId="1" fillId="17" borderId="7" xfId="0" applyFont="1" applyFill="1" applyBorder="1" applyAlignment="1">
      <alignment horizontal="center"/>
    </xf>
    <xf numFmtId="0" fontId="9" fillId="17" borderId="46" xfId="0" applyFont="1" applyFill="1" applyBorder="1" applyAlignment="1">
      <alignment horizontal="center" vertical="center"/>
    </xf>
    <xf numFmtId="164" fontId="9" fillId="17" borderId="46" xfId="0" applyNumberFormat="1" applyFont="1" applyFill="1" applyBorder="1" applyAlignment="1">
      <alignment horizontal="center" vertical="center"/>
    </xf>
    <xf numFmtId="0" fontId="1" fillId="17" borderId="162" xfId="0" applyFont="1" applyFill="1" applyBorder="1" applyAlignment="1">
      <alignment horizontal="center" vertical="center"/>
    </xf>
    <xf numFmtId="0" fontId="1" fillId="17" borderId="276" xfId="0" applyFont="1" applyFill="1" applyBorder="1" applyAlignment="1">
      <alignment horizontal="center" vertical="center"/>
    </xf>
    <xf numFmtId="0" fontId="9" fillId="17" borderId="7" xfId="0" applyFont="1" applyFill="1" applyBorder="1" applyAlignment="1">
      <alignment horizontal="center" vertical="center"/>
    </xf>
    <xf numFmtId="164" fontId="9" fillId="17" borderId="7" xfId="0" applyNumberFormat="1" applyFont="1" applyFill="1" applyBorder="1" applyAlignment="1">
      <alignment horizontal="center" vertical="center"/>
    </xf>
    <xf numFmtId="0" fontId="1" fillId="17" borderId="0" xfId="0" applyFont="1" applyFill="1" applyAlignment="1">
      <alignment horizontal="center" vertical="center"/>
    </xf>
    <xf numFmtId="0" fontId="1" fillId="17" borderId="283" xfId="0" applyFont="1" applyFill="1" applyBorder="1" applyAlignment="1">
      <alignment horizontal="center" vertical="center"/>
    </xf>
    <xf numFmtId="0" fontId="1" fillId="18" borderId="46" xfId="0" applyFont="1" applyFill="1" applyBorder="1" applyAlignment="1">
      <alignment horizontal="center" vertical="center"/>
    </xf>
    <xf numFmtId="0" fontId="1" fillId="18" borderId="0" xfId="0" applyFont="1" applyFill="1" applyAlignment="1">
      <alignment horizontal="center" vertical="center" wrapText="1"/>
    </xf>
    <xf numFmtId="3" fontId="1" fillId="18" borderId="46" xfId="0" applyNumberFormat="1" applyFont="1" applyFill="1" applyBorder="1" applyAlignment="1">
      <alignment horizontal="center" vertical="center"/>
    </xf>
    <xf numFmtId="0" fontId="1" fillId="18" borderId="154" xfId="0" applyFont="1" applyFill="1" applyBorder="1" applyAlignment="1">
      <alignment horizontal="center" vertical="center"/>
    </xf>
    <xf numFmtId="0" fontId="1" fillId="18" borderId="285" xfId="0" applyFont="1" applyFill="1" applyBorder="1" applyAlignment="1">
      <alignment horizontal="center"/>
    </xf>
    <xf numFmtId="0" fontId="1" fillId="18" borderId="0" xfId="0" applyFont="1" applyFill="1" applyAlignment="1">
      <alignment horizontal="center" vertical="center"/>
    </xf>
    <xf numFmtId="0" fontId="1" fillId="18" borderId="145" xfId="0" applyFont="1" applyFill="1" applyBorder="1" applyAlignment="1">
      <alignment horizontal="center" vertical="center"/>
    </xf>
    <xf numFmtId="0" fontId="1" fillId="18" borderId="7" xfId="0" applyFont="1" applyFill="1" applyBorder="1" applyAlignment="1">
      <alignment horizontal="center" vertical="center"/>
    </xf>
    <xf numFmtId="0" fontId="1" fillId="18" borderId="7" xfId="0" applyFont="1" applyFill="1" applyBorder="1" applyAlignment="1">
      <alignment horizontal="center" vertical="center" wrapText="1"/>
    </xf>
    <xf numFmtId="3" fontId="1" fillId="18" borderId="7" xfId="0" applyNumberFormat="1" applyFont="1" applyFill="1" applyBorder="1" applyAlignment="1">
      <alignment horizontal="center" vertical="center"/>
    </xf>
    <xf numFmtId="0" fontId="1" fillId="18" borderId="162" xfId="0" applyFont="1" applyFill="1" applyBorder="1" applyAlignment="1">
      <alignment horizontal="center" vertical="center"/>
    </xf>
    <xf numFmtId="0" fontId="1" fillId="18" borderId="7" xfId="0" applyFont="1" applyFill="1" applyBorder="1" applyAlignment="1">
      <alignment horizontal="center"/>
    </xf>
    <xf numFmtId="0" fontId="1" fillId="18" borderId="275" xfId="0" applyFont="1" applyFill="1" applyBorder="1" applyAlignment="1">
      <alignment horizontal="center" vertical="center"/>
    </xf>
    <xf numFmtId="0" fontId="1" fillId="18" borderId="276" xfId="0" applyFont="1" applyFill="1" applyBorder="1" applyAlignment="1">
      <alignment horizontal="center" vertical="center"/>
    </xf>
    <xf numFmtId="0" fontId="1" fillId="18" borderId="7" xfId="0" applyFont="1" applyFill="1" applyBorder="1" applyAlignment="1">
      <alignment horizontal="center" wrapText="1"/>
    </xf>
    <xf numFmtId="0" fontId="9" fillId="18" borderId="7" xfId="0" applyFont="1" applyFill="1" applyBorder="1" applyAlignment="1">
      <alignment horizontal="center" vertical="center"/>
    </xf>
    <xf numFmtId="164" fontId="9" fillId="18" borderId="7" xfId="0" applyNumberFormat="1" applyFont="1" applyFill="1" applyBorder="1" applyAlignment="1">
      <alignment horizontal="center" vertical="center"/>
    </xf>
    <xf numFmtId="0" fontId="9" fillId="18" borderId="226" xfId="0" applyFont="1" applyFill="1" applyBorder="1" applyAlignment="1">
      <alignment horizontal="center" vertical="center"/>
    </xf>
    <xf numFmtId="164" fontId="9" fillId="18" borderId="226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43" fontId="29" fillId="0" borderId="0" xfId="2" applyFont="1" applyBorder="1" applyAlignment="1">
      <alignment vertical="center"/>
    </xf>
    <xf numFmtId="0" fontId="29" fillId="0" borderId="287" xfId="0" applyFont="1" applyBorder="1" applyAlignment="1">
      <alignment horizontal="center"/>
    </xf>
    <xf numFmtId="43" fontId="29" fillId="0" borderId="306" xfId="2" applyFont="1" applyBorder="1" applyAlignment="1"/>
    <xf numFmtId="0" fontId="5" fillId="0" borderId="287" xfId="0" applyFont="1" applyBorder="1" applyAlignment="1">
      <alignment horizontal="center" vertical="center" wrapText="1"/>
    </xf>
    <xf numFmtId="0" fontId="5" fillId="0" borderId="22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5" xfId="0" applyFont="1" applyBorder="1" applyAlignment="1">
      <alignment horizontal="center" vertical="center" wrapText="1"/>
    </xf>
    <xf numFmtId="0" fontId="30" fillId="7" borderId="0" xfId="0" applyFont="1" applyFill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146" xfId="0" applyFont="1" applyBorder="1" applyAlignment="1">
      <alignment horizontal="center" vertical="center"/>
    </xf>
    <xf numFmtId="0" fontId="5" fillId="0" borderId="127" xfId="0" applyFont="1" applyBorder="1" applyAlignment="1">
      <alignment horizontal="center" vertical="center"/>
    </xf>
    <xf numFmtId="0" fontId="5" fillId="0" borderId="12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106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55" xfId="0" applyFont="1" applyBorder="1" applyAlignment="1">
      <alignment horizontal="center"/>
    </xf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0" xfId="0" applyFont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9" fillId="0" borderId="4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25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146" xfId="0" applyFont="1" applyBorder="1" applyAlignment="1">
      <alignment horizontal="center"/>
    </xf>
    <xf numFmtId="0" fontId="2" fillId="0" borderId="135" xfId="0" applyFont="1" applyBorder="1" applyAlignment="1">
      <alignment horizontal="center"/>
    </xf>
    <xf numFmtId="0" fontId="2" fillId="0" borderId="248" xfId="0" applyFont="1" applyBorder="1" applyAlignment="1">
      <alignment horizontal="center"/>
    </xf>
    <xf numFmtId="0" fontId="2" fillId="0" borderId="128" xfId="0" applyFont="1" applyBorder="1" applyAlignment="1">
      <alignment horizontal="center"/>
    </xf>
    <xf numFmtId="0" fontId="2" fillId="0" borderId="127" xfId="0" applyFont="1" applyBorder="1" applyAlignment="1">
      <alignment horizontal="center"/>
    </xf>
    <xf numFmtId="0" fontId="1" fillId="0" borderId="248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1" fillId="0" borderId="295" xfId="0" applyFont="1" applyBorder="1" applyAlignment="1">
      <alignment horizontal="center"/>
    </xf>
    <xf numFmtId="0" fontId="1" fillId="0" borderId="305" xfId="0" applyFont="1" applyBorder="1" applyAlignment="1">
      <alignment horizontal="center"/>
    </xf>
    <xf numFmtId="0" fontId="1" fillId="0" borderId="4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80" xfId="0" applyFont="1" applyBorder="1" applyAlignment="1">
      <alignment horizontal="center"/>
    </xf>
    <xf numFmtId="0" fontId="5" fillId="0" borderId="172" xfId="0" applyFont="1" applyBorder="1" applyAlignment="1">
      <alignment horizontal="center"/>
    </xf>
    <xf numFmtId="0" fontId="27" fillId="8" borderId="162" xfId="0" applyFont="1" applyFill="1" applyBorder="1" applyAlignment="1">
      <alignment horizontal="center" vertical="center"/>
    </xf>
    <xf numFmtId="0" fontId="27" fillId="8" borderId="286" xfId="0" applyFont="1" applyFill="1" applyBorder="1" applyAlignment="1">
      <alignment horizontal="center" vertical="center"/>
    </xf>
    <xf numFmtId="0" fontId="27" fillId="8" borderId="31" xfId="0" applyFont="1" applyFill="1" applyBorder="1" applyAlignment="1">
      <alignment horizontal="center" vertical="center"/>
    </xf>
    <xf numFmtId="0" fontId="1" fillId="0" borderId="242" xfId="0" applyFont="1" applyBorder="1" applyAlignment="1">
      <alignment horizontal="center"/>
    </xf>
    <xf numFmtId="0" fontId="1" fillId="0" borderId="130" xfId="0" applyFont="1" applyBorder="1" applyAlignment="1">
      <alignment horizontal="center"/>
    </xf>
    <xf numFmtId="0" fontId="1" fillId="0" borderId="13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1" fillId="15" borderId="301" xfId="0" applyFont="1" applyFill="1" applyBorder="1" applyAlignment="1">
      <alignment horizontal="center" vertical="center" textRotation="90"/>
    </xf>
    <xf numFmtId="0" fontId="1" fillId="15" borderId="74" xfId="0" applyFont="1" applyFill="1" applyBorder="1" applyAlignment="1">
      <alignment horizontal="center" vertical="center" textRotation="90"/>
    </xf>
    <xf numFmtId="0" fontId="1" fillId="15" borderId="271" xfId="0" applyFont="1" applyFill="1" applyBorder="1" applyAlignment="1">
      <alignment horizontal="center" vertical="center" textRotation="90"/>
    </xf>
    <xf numFmtId="0" fontId="31" fillId="16" borderId="301" xfId="0" applyFont="1" applyFill="1" applyBorder="1" applyAlignment="1">
      <alignment horizontal="center" vertical="center" textRotation="90"/>
    </xf>
    <xf numFmtId="0" fontId="31" fillId="16" borderId="74" xfId="0" applyFont="1" applyFill="1" applyBorder="1" applyAlignment="1">
      <alignment horizontal="center" vertical="center" textRotation="90"/>
    </xf>
    <xf numFmtId="0" fontId="31" fillId="16" borderId="271" xfId="0" applyFont="1" applyFill="1" applyBorder="1" applyAlignment="1">
      <alignment horizontal="center" vertical="center" textRotation="90"/>
    </xf>
    <xf numFmtId="0" fontId="3" fillId="7" borderId="304" xfId="0" applyFont="1" applyFill="1" applyBorder="1" applyAlignment="1">
      <alignment horizontal="center" vertical="center"/>
    </xf>
    <xf numFmtId="0" fontId="3" fillId="7" borderId="286" xfId="0" applyFont="1" applyFill="1" applyBorder="1" applyAlignment="1">
      <alignment horizontal="center" vertical="center"/>
    </xf>
    <xf numFmtId="0" fontId="3" fillId="7" borderId="276" xfId="0" applyFont="1" applyFill="1" applyBorder="1" applyAlignment="1">
      <alignment horizontal="center" vertical="center"/>
    </xf>
    <xf numFmtId="0" fontId="14" fillId="10" borderId="289" xfId="0" applyFont="1" applyFill="1" applyBorder="1" applyAlignment="1">
      <alignment horizontal="center"/>
    </xf>
    <xf numFmtId="0" fontId="14" fillId="10" borderId="290" xfId="0" applyFont="1" applyFill="1" applyBorder="1" applyAlignment="1">
      <alignment horizontal="center"/>
    </xf>
    <xf numFmtId="0" fontId="14" fillId="10" borderId="291" xfId="0" applyFont="1" applyFill="1" applyBorder="1" applyAlignment="1">
      <alignment horizontal="center"/>
    </xf>
    <xf numFmtId="0" fontId="14" fillId="10" borderId="200" xfId="0" applyFont="1" applyFill="1" applyBorder="1" applyAlignment="1">
      <alignment horizontal="center"/>
    </xf>
    <xf numFmtId="0" fontId="14" fillId="10" borderId="295" xfId="0" applyFont="1" applyFill="1" applyBorder="1" applyAlignment="1">
      <alignment horizontal="center"/>
    </xf>
    <xf numFmtId="0" fontId="14" fillId="10" borderId="151" xfId="0" applyFont="1" applyFill="1" applyBorder="1" applyAlignment="1">
      <alignment horizontal="center"/>
    </xf>
    <xf numFmtId="0" fontId="14" fillId="10" borderId="293" xfId="0" applyFont="1" applyFill="1" applyBorder="1" applyAlignment="1">
      <alignment horizontal="center"/>
    </xf>
    <xf numFmtId="0" fontId="27" fillId="10" borderId="163" xfId="0" applyFont="1" applyFill="1" applyBorder="1" applyAlignment="1">
      <alignment horizontal="left"/>
    </xf>
    <xf numFmtId="0" fontId="27" fillId="10" borderId="295" xfId="0" applyFont="1" applyFill="1" applyBorder="1" applyAlignment="1">
      <alignment horizontal="left"/>
    </xf>
    <xf numFmtId="0" fontId="27" fillId="10" borderId="151" xfId="0" applyFont="1" applyFill="1" applyBorder="1" applyAlignment="1">
      <alignment horizontal="left"/>
    </xf>
    <xf numFmtId="0" fontId="14" fillId="8" borderId="253" xfId="0" applyFont="1" applyFill="1" applyBorder="1" applyAlignment="1">
      <alignment horizontal="center" vertical="center"/>
    </xf>
    <xf numFmtId="0" fontId="14" fillId="8" borderId="297" xfId="0" applyFont="1" applyFill="1" applyBorder="1" applyAlignment="1">
      <alignment horizontal="center" vertical="center"/>
    </xf>
    <xf numFmtId="0" fontId="14" fillId="8" borderId="298" xfId="0" applyFont="1" applyFill="1" applyBorder="1" applyAlignment="1">
      <alignment horizontal="center" vertical="center"/>
    </xf>
    <xf numFmtId="0" fontId="29" fillId="0" borderId="226" xfId="0" applyFont="1" applyBorder="1" applyAlignment="1">
      <alignment horizontal="center"/>
    </xf>
    <xf numFmtId="0" fontId="29" fillId="0" borderId="18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14" fillId="0" borderId="284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95" xfId="0" applyFont="1" applyBorder="1" applyAlignment="1">
      <alignment horizontal="center"/>
    </xf>
    <xf numFmtId="0" fontId="14" fillId="0" borderId="299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/>
    </xf>
    <xf numFmtId="0" fontId="14" fillId="10" borderId="292" xfId="0" applyFont="1" applyFill="1" applyBorder="1" applyAlignment="1">
      <alignment horizontal="center"/>
    </xf>
    <xf numFmtId="0" fontId="14" fillId="10" borderId="294" xfId="0" applyFont="1" applyFill="1" applyBorder="1" applyAlignment="1">
      <alignment horizontal="center"/>
    </xf>
    <xf numFmtId="43" fontId="14" fillId="10" borderId="149" xfId="2" applyFont="1" applyFill="1" applyBorder="1" applyAlignment="1">
      <alignment horizontal="center" vertical="center"/>
    </xf>
    <xf numFmtId="43" fontId="14" fillId="10" borderId="296" xfId="2" applyFont="1" applyFill="1" applyBorder="1" applyAlignment="1">
      <alignment horizontal="center" vertical="center"/>
    </xf>
    <xf numFmtId="0" fontId="29" fillId="10" borderId="292" xfId="0" applyFont="1" applyFill="1" applyBorder="1" applyAlignment="1">
      <alignment horizontal="center"/>
    </xf>
    <xf numFmtId="43" fontId="29" fillId="10" borderId="149" xfId="2" applyFont="1" applyFill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27" fillId="8" borderId="268" xfId="0" applyFont="1" applyFill="1" applyBorder="1" applyAlignment="1">
      <alignment horizontal="center" vertical="center"/>
    </xf>
    <xf numFmtId="0" fontId="27" fillId="8" borderId="7" xfId="0" applyFont="1" applyFill="1" applyBorder="1" applyAlignment="1">
      <alignment horizontal="center" vertical="center"/>
    </xf>
    <xf numFmtId="0" fontId="2" fillId="0" borderId="154" xfId="1" applyBorder="1" applyAlignment="1">
      <alignment horizontal="center" vertical="center"/>
    </xf>
    <xf numFmtId="0" fontId="2" fillId="0" borderId="48" xfId="1" applyBorder="1" applyAlignment="1">
      <alignment horizontal="center" vertical="center"/>
    </xf>
    <xf numFmtId="0" fontId="1" fillId="17" borderId="301" xfId="0" applyFont="1" applyFill="1" applyBorder="1" applyAlignment="1">
      <alignment horizontal="center" vertical="center" textRotation="90"/>
    </xf>
    <xf numFmtId="0" fontId="1" fillId="17" borderId="74" xfId="0" applyFont="1" applyFill="1" applyBorder="1" applyAlignment="1">
      <alignment horizontal="center" vertical="center" textRotation="90"/>
    </xf>
    <xf numFmtId="0" fontId="1" fillId="4" borderId="301" xfId="0" applyFont="1" applyFill="1" applyBorder="1" applyAlignment="1">
      <alignment horizontal="center" vertical="center" textRotation="90"/>
    </xf>
    <xf numFmtId="0" fontId="1" fillId="4" borderId="74" xfId="0" applyFont="1" applyFill="1" applyBorder="1" applyAlignment="1">
      <alignment horizontal="center" vertical="center" textRotation="90"/>
    </xf>
    <xf numFmtId="0" fontId="1" fillId="4" borderId="271" xfId="0" applyFont="1" applyFill="1" applyBorder="1" applyAlignment="1">
      <alignment horizontal="center" vertical="center" textRotation="90"/>
    </xf>
    <xf numFmtId="0" fontId="31" fillId="11" borderId="301" xfId="0" applyFont="1" applyFill="1" applyBorder="1" applyAlignment="1">
      <alignment horizontal="center" vertical="center" textRotation="90"/>
    </xf>
    <xf numFmtId="0" fontId="31" fillId="11" borderId="74" xfId="0" applyFont="1" applyFill="1" applyBorder="1" applyAlignment="1">
      <alignment horizontal="center" vertical="center" textRotation="90"/>
    </xf>
    <xf numFmtId="0" fontId="31" fillId="11" borderId="271" xfId="0" applyFont="1" applyFill="1" applyBorder="1" applyAlignment="1">
      <alignment horizontal="center" vertical="center" textRotation="90"/>
    </xf>
    <xf numFmtId="0" fontId="1" fillId="9" borderId="301" xfId="0" applyFont="1" applyFill="1" applyBorder="1" applyAlignment="1">
      <alignment horizontal="center" vertical="center" textRotation="90"/>
    </xf>
    <xf numFmtId="0" fontId="1" fillId="9" borderId="74" xfId="0" applyFont="1" applyFill="1" applyBorder="1" applyAlignment="1">
      <alignment horizontal="center" vertical="center" textRotation="90"/>
    </xf>
    <xf numFmtId="0" fontId="27" fillId="8" borderId="46" xfId="0" applyFont="1" applyFill="1" applyBorder="1" applyAlignment="1">
      <alignment horizontal="center" vertical="center"/>
    </xf>
    <xf numFmtId="0" fontId="27" fillId="8" borderId="145" xfId="0" applyFont="1" applyFill="1" applyBorder="1" applyAlignment="1">
      <alignment horizontal="center" vertical="center"/>
    </xf>
    <xf numFmtId="0" fontId="28" fillId="7" borderId="5" xfId="0" applyFont="1" applyFill="1" applyBorder="1" applyAlignment="1">
      <alignment horizontal="center" vertical="center"/>
    </xf>
    <xf numFmtId="0" fontId="28" fillId="7" borderId="16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3" fillId="7" borderId="71" xfId="0" applyFont="1" applyFill="1" applyBorder="1" applyAlignment="1">
      <alignment horizontal="center" vertical="center"/>
    </xf>
    <xf numFmtId="0" fontId="1" fillId="18" borderId="74" xfId="0" applyFont="1" applyFill="1" applyBorder="1" applyAlignment="1">
      <alignment horizontal="center" vertical="center" textRotation="90" wrapText="1"/>
    </xf>
    <xf numFmtId="0" fontId="1" fillId="18" borderId="271" xfId="0" applyFont="1" applyFill="1" applyBorder="1" applyAlignment="1">
      <alignment horizontal="center" vertical="center" textRotation="90" wrapText="1"/>
    </xf>
    <xf numFmtId="0" fontId="1" fillId="18" borderId="301" xfId="0" applyFont="1" applyFill="1" applyBorder="1" applyAlignment="1">
      <alignment horizontal="center" vertical="center" textRotation="90" wrapText="1"/>
    </xf>
    <xf numFmtId="0" fontId="3" fillId="7" borderId="46" xfId="0" applyFont="1" applyFill="1" applyBorder="1" applyAlignment="1">
      <alignment horizontal="center" vertical="center" wrapText="1"/>
    </xf>
    <xf numFmtId="0" fontId="3" fillId="7" borderId="282" xfId="0" applyFont="1" applyFill="1" applyBorder="1" applyAlignment="1">
      <alignment horizontal="center" vertical="center" wrapText="1"/>
    </xf>
    <xf numFmtId="0" fontId="3" fillId="7" borderId="145" xfId="0" applyFont="1" applyFill="1" applyBorder="1" applyAlignment="1">
      <alignment horizontal="center" vertical="center"/>
    </xf>
    <xf numFmtId="0" fontId="3" fillId="7" borderId="303" xfId="0" applyFont="1" applyFill="1" applyBorder="1" applyAlignment="1">
      <alignment horizontal="center" vertical="center"/>
    </xf>
    <xf numFmtId="0" fontId="31" fillId="13" borderId="301" xfId="0" applyFont="1" applyFill="1" applyBorder="1" applyAlignment="1">
      <alignment horizontal="center" vertical="center" textRotation="90"/>
    </xf>
    <xf numFmtId="0" fontId="31" fillId="13" borderId="74" xfId="0" applyFont="1" applyFill="1" applyBorder="1" applyAlignment="1">
      <alignment horizontal="center" vertical="center" textRotation="90"/>
    </xf>
    <xf numFmtId="0" fontId="31" fillId="13" borderId="271" xfId="0" applyFont="1" applyFill="1" applyBorder="1" applyAlignment="1">
      <alignment horizontal="center" vertical="center" textRotation="90"/>
    </xf>
    <xf numFmtId="0" fontId="1" fillId="14" borderId="301" xfId="0" applyFont="1" applyFill="1" applyBorder="1" applyAlignment="1">
      <alignment horizontal="center" vertical="center" textRotation="90"/>
    </xf>
    <xf numFmtId="0" fontId="1" fillId="14" borderId="74" xfId="0" applyFont="1" applyFill="1" applyBorder="1" applyAlignment="1">
      <alignment horizontal="center" vertical="center" textRotation="90"/>
    </xf>
    <xf numFmtId="0" fontId="1" fillId="14" borderId="271" xfId="0" applyFont="1" applyFill="1" applyBorder="1" applyAlignment="1">
      <alignment horizontal="center" vertical="center" textRotation="90"/>
    </xf>
    <xf numFmtId="0" fontId="3" fillId="7" borderId="46" xfId="0" applyFont="1" applyFill="1" applyBorder="1" applyAlignment="1">
      <alignment horizontal="center" vertical="center"/>
    </xf>
    <xf numFmtId="0" fontId="3" fillId="7" borderId="282" xfId="0" applyFont="1" applyFill="1" applyBorder="1" applyAlignment="1">
      <alignment horizontal="center" vertical="center"/>
    </xf>
    <xf numFmtId="0" fontId="1" fillId="18" borderId="122" xfId="0" applyFont="1" applyFill="1" applyBorder="1" applyAlignment="1">
      <alignment horizontal="center" vertical="center" textRotation="90" wrapText="1"/>
    </xf>
    <xf numFmtId="0" fontId="1" fillId="12" borderId="301" xfId="0" applyFont="1" applyFill="1" applyBorder="1" applyAlignment="1">
      <alignment horizontal="center" vertical="center" textRotation="90"/>
    </xf>
    <xf numFmtId="0" fontId="1" fillId="12" borderId="74" xfId="0" applyFont="1" applyFill="1" applyBorder="1" applyAlignment="1">
      <alignment horizontal="center" vertical="center" textRotation="90"/>
    </xf>
    <xf numFmtId="0" fontId="1" fillId="12" borderId="271" xfId="0" applyFont="1" applyFill="1" applyBorder="1" applyAlignment="1">
      <alignment horizontal="center" vertical="center" textRotation="90"/>
    </xf>
    <xf numFmtId="0" fontId="3" fillId="7" borderId="271" xfId="0" applyFont="1" applyFill="1" applyBorder="1" applyAlignment="1">
      <alignment horizontal="center" vertical="center"/>
    </xf>
    <xf numFmtId="0" fontId="3" fillId="7" borderId="302" xfId="0" applyFont="1" applyFill="1" applyBorder="1" applyAlignment="1">
      <alignment horizontal="center" vertical="center"/>
    </xf>
    <xf numFmtId="0" fontId="3" fillId="7" borderId="154" xfId="0" applyFont="1" applyFill="1" applyBorder="1" applyAlignment="1">
      <alignment horizontal="center" vertical="center"/>
    </xf>
    <xf numFmtId="0" fontId="3" fillId="7" borderId="48" xfId="0" applyFont="1" applyFill="1" applyBorder="1" applyAlignment="1">
      <alignment horizontal="center" vertical="center"/>
    </xf>
    <xf numFmtId="164" fontId="2" fillId="0" borderId="37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0" borderId="37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164" fontId="5" fillId="0" borderId="16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12" fillId="0" borderId="226" xfId="0" applyFont="1" applyBorder="1" applyAlignment="1">
      <alignment horizontal="center"/>
    </xf>
    <xf numFmtId="0" fontId="12" fillId="0" borderId="46" xfId="0" applyFont="1" applyBorder="1" applyAlignment="1">
      <alignment horizontal="center"/>
    </xf>
    <xf numFmtId="0" fontId="12" fillId="0" borderId="226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26" fillId="0" borderId="111" xfId="0" applyFont="1" applyBorder="1" applyAlignment="1">
      <alignment horizontal="center" vertical="center"/>
    </xf>
    <xf numFmtId="0" fontId="26" fillId="0" borderId="108" xfId="0" applyFont="1" applyBorder="1" applyAlignment="1">
      <alignment horizontal="center" vertical="center"/>
    </xf>
    <xf numFmtId="0" fontId="9" fillId="0" borderId="247" xfId="1" applyFont="1" applyBorder="1" applyAlignment="1">
      <alignment horizontal="center" vertical="center"/>
    </xf>
    <xf numFmtId="0" fontId="9" fillId="0" borderId="150" xfId="1" applyFont="1" applyBorder="1" applyAlignment="1">
      <alignment horizontal="center" vertical="center"/>
    </xf>
    <xf numFmtId="0" fontId="9" fillId="0" borderId="226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164" fontId="9" fillId="0" borderId="226" xfId="0" applyNumberFormat="1" applyFont="1" applyBorder="1" applyAlignment="1">
      <alignment horizontal="center" vertical="center"/>
    </xf>
    <xf numFmtId="164" fontId="9" fillId="0" borderId="46" xfId="0" applyNumberFormat="1" applyFont="1" applyBorder="1" applyAlignment="1">
      <alignment horizontal="center" vertical="center"/>
    </xf>
    <xf numFmtId="0" fontId="12" fillId="0" borderId="233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6" fillId="0" borderId="230" xfId="0" applyFont="1" applyBorder="1" applyAlignment="1">
      <alignment horizontal="center" vertical="center"/>
    </xf>
    <xf numFmtId="0" fontId="6" fillId="0" borderId="78" xfId="0" applyFont="1" applyBorder="1" applyAlignment="1">
      <alignment horizontal="center" vertical="center"/>
    </xf>
    <xf numFmtId="0" fontId="1" fillId="0" borderId="230" xfId="0" applyFont="1" applyBorder="1" applyAlignment="1">
      <alignment horizontal="center" vertical="center"/>
    </xf>
    <xf numFmtId="0" fontId="1" fillId="0" borderId="229" xfId="0" applyFont="1" applyBorder="1" applyAlignment="1">
      <alignment horizontal="center" vertical="center"/>
    </xf>
    <xf numFmtId="0" fontId="6" fillId="0" borderId="229" xfId="0" applyFont="1" applyBorder="1" applyAlignment="1">
      <alignment horizontal="center" vertical="center"/>
    </xf>
    <xf numFmtId="0" fontId="1" fillId="0" borderId="78" xfId="0" applyFont="1" applyBorder="1" applyAlignment="1">
      <alignment horizontal="center" vertical="center"/>
    </xf>
    <xf numFmtId="0" fontId="6" fillId="0" borderId="226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12" fillId="0" borderId="264" xfId="0" applyFont="1" applyBorder="1" applyAlignment="1">
      <alignment horizontal="center"/>
    </xf>
    <xf numFmtId="0" fontId="12" fillId="0" borderId="145" xfId="0" applyFont="1" applyBorder="1" applyAlignment="1">
      <alignment horizontal="center"/>
    </xf>
    <xf numFmtId="0" fontId="12" fillId="0" borderId="247" xfId="0" applyFont="1" applyBorder="1" applyAlignment="1">
      <alignment horizontal="center"/>
    </xf>
    <xf numFmtId="0" fontId="12" fillId="0" borderId="150" xfId="0" applyFont="1" applyBorder="1" applyAlignment="1">
      <alignment horizontal="center"/>
    </xf>
    <xf numFmtId="0" fontId="12" fillId="0" borderId="233" xfId="0" applyFont="1" applyBorder="1" applyAlignment="1">
      <alignment horizontal="center"/>
    </xf>
    <xf numFmtId="0" fontId="12" fillId="0" borderId="47" xfId="0" applyFont="1" applyBorder="1" applyAlignment="1">
      <alignment horizontal="center"/>
    </xf>
    <xf numFmtId="0" fontId="6" fillId="0" borderId="230" xfId="0" applyFont="1" applyBorder="1" applyAlignment="1">
      <alignment horizontal="center"/>
    </xf>
    <xf numFmtId="0" fontId="6" fillId="0" borderId="229" xfId="0" applyFont="1" applyBorder="1" applyAlignment="1">
      <alignment horizontal="center"/>
    </xf>
    <xf numFmtId="0" fontId="12" fillId="0" borderId="71" xfId="0" applyFont="1" applyBorder="1" applyAlignment="1">
      <alignment horizontal="center"/>
    </xf>
    <xf numFmtId="0" fontId="12" fillId="0" borderId="71" xfId="0" applyFont="1" applyBorder="1" applyAlignment="1">
      <alignment horizontal="center" vertical="center"/>
    </xf>
    <xf numFmtId="0" fontId="12" fillId="0" borderId="164" xfId="0" applyFont="1" applyBorder="1" applyAlignment="1">
      <alignment horizontal="center" vertical="center"/>
    </xf>
    <xf numFmtId="0" fontId="9" fillId="0" borderId="71" xfId="0" applyFont="1" applyBorder="1" applyAlignment="1">
      <alignment horizontal="center" vertical="center"/>
    </xf>
    <xf numFmtId="164" fontId="9" fillId="0" borderId="71" xfId="0" applyNumberFormat="1" applyFont="1" applyBorder="1" applyAlignment="1">
      <alignment horizontal="center" vertical="center"/>
    </xf>
    <xf numFmtId="0" fontId="12" fillId="0" borderId="98" xfId="0" applyFont="1" applyBorder="1" applyAlignment="1">
      <alignment horizontal="center"/>
    </xf>
    <xf numFmtId="0" fontId="12" fillId="0" borderId="68" xfId="0" applyFont="1" applyBorder="1" applyAlignment="1">
      <alignment horizontal="center"/>
    </xf>
    <xf numFmtId="0" fontId="2" fillId="0" borderId="247" xfId="1" applyBorder="1" applyAlignment="1">
      <alignment horizontal="center" vertical="center"/>
    </xf>
    <xf numFmtId="0" fontId="2" fillId="0" borderId="150" xfId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4" fillId="2" borderId="12" xfId="1" applyFont="1" applyFill="1" applyBorder="1" applyAlignment="1">
      <alignment horizontal="center" vertical="center"/>
    </xf>
    <xf numFmtId="0" fontId="4" fillId="2" borderId="52" xfId="1" applyFont="1" applyFill="1" applyBorder="1" applyAlignment="1">
      <alignment horizontal="center" vertical="center"/>
    </xf>
    <xf numFmtId="0" fontId="4" fillId="2" borderId="14" xfId="1" applyFont="1" applyFill="1" applyBorder="1" applyAlignment="1">
      <alignment horizontal="center" vertical="center"/>
    </xf>
    <xf numFmtId="0" fontId="4" fillId="2" borderId="15" xfId="1" applyFont="1" applyFill="1" applyBorder="1" applyAlignment="1">
      <alignment horizontal="center" vertical="center"/>
    </xf>
    <xf numFmtId="0" fontId="3" fillId="4" borderId="51" xfId="0" applyFont="1" applyFill="1" applyBorder="1" applyAlignment="1">
      <alignment horizontal="center" vertical="center"/>
    </xf>
    <xf numFmtId="0" fontId="3" fillId="4" borderId="54" xfId="0" applyFont="1" applyFill="1" applyBorder="1" applyAlignment="1">
      <alignment horizontal="center" vertical="center"/>
    </xf>
    <xf numFmtId="0" fontId="3" fillId="4" borderId="51" xfId="1" applyFont="1" applyFill="1" applyBorder="1" applyAlignment="1">
      <alignment horizontal="center" vertical="center"/>
    </xf>
    <xf numFmtId="0" fontId="3" fillId="4" borderId="54" xfId="1" applyFont="1" applyFill="1" applyBorder="1" applyAlignment="1">
      <alignment horizontal="center" vertical="center"/>
    </xf>
    <xf numFmtId="0" fontId="3" fillId="4" borderId="41" xfId="1" applyFont="1" applyFill="1" applyBorder="1" applyAlignment="1">
      <alignment horizontal="center" vertical="center"/>
    </xf>
    <xf numFmtId="0" fontId="3" fillId="4" borderId="3" xfId="1" applyFont="1" applyFill="1" applyBorder="1" applyAlignment="1">
      <alignment horizontal="center" vertical="center"/>
    </xf>
    <xf numFmtId="0" fontId="5" fillId="4" borderId="0" xfId="1" applyFont="1" applyFill="1" applyAlignment="1">
      <alignment horizontal="center" vertical="center"/>
    </xf>
    <xf numFmtId="0" fontId="5" fillId="4" borderId="37" xfId="1" applyFont="1" applyFill="1" applyBorder="1" applyAlignment="1">
      <alignment horizontal="center" vertical="center"/>
    </xf>
    <xf numFmtId="0" fontId="5" fillId="4" borderId="2" xfId="1" applyFont="1" applyFill="1" applyBorder="1" applyAlignment="1">
      <alignment horizontal="center" vertical="center"/>
    </xf>
    <xf numFmtId="0" fontId="5" fillId="4" borderId="20" xfId="1" applyFont="1" applyFill="1" applyBorder="1" applyAlignment="1">
      <alignment horizontal="center" vertical="center"/>
    </xf>
    <xf numFmtId="0" fontId="3" fillId="4" borderId="193" xfId="1" applyFont="1" applyFill="1" applyBorder="1" applyAlignment="1">
      <alignment horizontal="center" vertical="center" wrapText="1"/>
    </xf>
    <xf numFmtId="0" fontId="3" fillId="4" borderId="194" xfId="1" applyFont="1" applyFill="1" applyBorder="1" applyAlignment="1">
      <alignment horizontal="center" vertical="center" wrapText="1"/>
    </xf>
    <xf numFmtId="0" fontId="3" fillId="4" borderId="12" xfId="1" applyFont="1" applyFill="1" applyBorder="1" applyAlignment="1">
      <alignment horizontal="center" vertical="center" wrapText="1"/>
    </xf>
    <xf numFmtId="0" fontId="3" fillId="4" borderId="2" xfId="1" applyFont="1" applyFill="1" applyBorder="1" applyAlignment="1">
      <alignment horizontal="center" vertical="center" wrapText="1"/>
    </xf>
    <xf numFmtId="0" fontId="3" fillId="4" borderId="42" xfId="1" applyFont="1" applyFill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3" fillId="4" borderId="77" xfId="1" applyFont="1" applyFill="1" applyBorder="1" applyAlignment="1">
      <alignment horizontal="center" vertical="center"/>
    </xf>
    <xf numFmtId="0" fontId="3" fillId="4" borderId="240" xfId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2" fillId="2" borderId="24" xfId="1" applyFill="1" applyBorder="1" applyAlignment="1">
      <alignment horizontal="center" vertical="center"/>
    </xf>
    <xf numFmtId="0" fontId="2" fillId="2" borderId="16" xfId="1" applyFill="1" applyBorder="1" applyAlignment="1">
      <alignment horizontal="center" vertical="center"/>
    </xf>
    <xf numFmtId="0" fontId="2" fillId="2" borderId="25" xfId="1" applyFill="1" applyBorder="1" applyAlignment="1">
      <alignment horizontal="center" vertical="center"/>
    </xf>
    <xf numFmtId="0" fontId="2" fillId="2" borderId="13" xfId="1" applyFill="1" applyBorder="1" applyAlignment="1">
      <alignment horizontal="center" vertical="center"/>
    </xf>
    <xf numFmtId="0" fontId="2" fillId="2" borderId="14" xfId="1" applyFill="1" applyBorder="1" applyAlignment="1">
      <alignment horizontal="center" vertical="center"/>
    </xf>
    <xf numFmtId="0" fontId="2" fillId="2" borderId="15" xfId="1" applyFill="1" applyBorder="1" applyAlignment="1">
      <alignment horizontal="center" vertical="center"/>
    </xf>
    <xf numFmtId="0" fontId="1" fillId="0" borderId="204" xfId="0" applyFont="1" applyBorder="1" applyAlignment="1">
      <alignment horizontal="center" vertical="center"/>
    </xf>
    <xf numFmtId="0" fontId="1" fillId="0" borderId="174" xfId="0" applyFont="1" applyBorder="1" applyAlignment="1">
      <alignment horizontal="center" vertical="center"/>
    </xf>
    <xf numFmtId="0" fontId="1" fillId="0" borderId="205" xfId="0" applyFont="1" applyBorder="1" applyAlignment="1">
      <alignment horizontal="center" vertical="center"/>
    </xf>
    <xf numFmtId="0" fontId="1" fillId="0" borderId="203" xfId="0" applyFont="1" applyBorder="1" applyAlignment="1">
      <alignment horizontal="center" vertical="center"/>
    </xf>
    <xf numFmtId="0" fontId="1" fillId="0" borderId="204" xfId="0" applyFont="1" applyBorder="1" applyAlignment="1">
      <alignment horizontal="center" vertical="center" wrapText="1"/>
    </xf>
    <xf numFmtId="0" fontId="1" fillId="0" borderId="174" xfId="0" applyFont="1" applyBorder="1" applyAlignment="1">
      <alignment horizontal="center" vertical="center" wrapText="1"/>
    </xf>
    <xf numFmtId="0" fontId="1" fillId="0" borderId="20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5" fillId="0" borderId="108" xfId="0" applyFont="1" applyBorder="1" applyAlignment="1">
      <alignment horizontal="center" vertical="center"/>
    </xf>
    <xf numFmtId="0" fontId="5" fillId="0" borderId="108" xfId="0" applyFont="1" applyBorder="1" applyAlignment="1">
      <alignment horizontal="center" vertical="center" wrapText="1"/>
    </xf>
    <xf numFmtId="0" fontId="5" fillId="0" borderId="129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2" fillId="0" borderId="224" xfId="1" applyBorder="1" applyAlignment="1">
      <alignment horizontal="center" vertical="center"/>
    </xf>
    <xf numFmtId="0" fontId="2" fillId="0" borderId="198" xfId="1" applyBorder="1" applyAlignment="1">
      <alignment horizontal="center" vertical="center"/>
    </xf>
    <xf numFmtId="0" fontId="9" fillId="0" borderId="225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2" fillId="0" borderId="108" xfId="0" applyFont="1" applyBorder="1" applyAlignment="1">
      <alignment horizontal="center" vertical="center"/>
    </xf>
    <xf numFmtId="0" fontId="2" fillId="0" borderId="120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5" fillId="0" borderId="120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9" fillId="0" borderId="68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43" xfId="0" applyFont="1" applyBorder="1" applyAlignment="1">
      <alignment horizontal="center" vertical="center" textRotation="90"/>
    </xf>
    <xf numFmtId="0" fontId="1" fillId="0" borderId="120" xfId="0" applyFont="1" applyBorder="1" applyAlignment="1">
      <alignment horizontal="center" vertical="center" textRotation="90"/>
    </xf>
    <xf numFmtId="0" fontId="1" fillId="0" borderId="55" xfId="0" applyFont="1" applyBorder="1" applyAlignment="1">
      <alignment horizontal="center" vertical="center" textRotation="90"/>
    </xf>
    <xf numFmtId="0" fontId="1" fillId="0" borderId="172" xfId="0" applyFont="1" applyBorder="1" applyAlignment="1">
      <alignment horizontal="center"/>
    </xf>
    <xf numFmtId="0" fontId="1" fillId="0" borderId="173" xfId="0" applyFont="1" applyBorder="1" applyAlignment="1">
      <alignment horizontal="center"/>
    </xf>
    <xf numFmtId="0" fontId="5" fillId="0" borderId="2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3" fillId="4" borderId="193" xfId="0" applyFont="1" applyFill="1" applyBorder="1" applyAlignment="1">
      <alignment horizontal="center" vertical="center"/>
    </xf>
    <xf numFmtId="0" fontId="3" fillId="4" borderId="194" xfId="0" applyFont="1" applyFill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11" xfId="0" applyFont="1" applyBorder="1" applyAlignment="1">
      <alignment horizontal="center"/>
    </xf>
    <xf numFmtId="0" fontId="2" fillId="0" borderId="108" xfId="0" applyFont="1" applyBorder="1" applyAlignment="1">
      <alignment horizontal="center"/>
    </xf>
    <xf numFmtId="0" fontId="2" fillId="0" borderId="12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44" xfId="0" applyFont="1" applyBorder="1" applyAlignment="1">
      <alignment horizontal="center"/>
    </xf>
    <xf numFmtId="0" fontId="6" fillId="0" borderId="40" xfId="0" applyFont="1" applyBorder="1" applyAlignment="1">
      <alignment horizontal="center" vertical="center" textRotation="255"/>
    </xf>
    <xf numFmtId="0" fontId="6" fillId="0" borderId="13" xfId="0" applyFont="1" applyBorder="1" applyAlignment="1">
      <alignment horizontal="center" vertical="center" textRotation="255"/>
    </xf>
    <xf numFmtId="0" fontId="6" fillId="0" borderId="24" xfId="0" applyFont="1" applyBorder="1" applyAlignment="1">
      <alignment horizontal="center" vertical="center" textRotation="255"/>
    </xf>
    <xf numFmtId="0" fontId="6" fillId="0" borderId="206" xfId="0" applyFont="1" applyBorder="1" applyAlignment="1">
      <alignment horizontal="center" vertical="center" textRotation="255"/>
    </xf>
    <xf numFmtId="0" fontId="1" fillId="0" borderId="20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2" fillId="0" borderId="172" xfId="0" applyFont="1" applyBorder="1" applyAlignment="1">
      <alignment horizontal="center" vertical="center"/>
    </xf>
    <xf numFmtId="0" fontId="2" fillId="0" borderId="173" xfId="0" applyFont="1" applyBorder="1" applyAlignment="1">
      <alignment horizontal="center" vertical="center"/>
    </xf>
    <xf numFmtId="0" fontId="2" fillId="0" borderId="191" xfId="0" applyFont="1" applyBorder="1" applyAlignment="1">
      <alignment horizontal="center"/>
    </xf>
    <xf numFmtId="0" fontId="2" fillId="0" borderId="185" xfId="0" applyFont="1" applyBorder="1" applyAlignment="1">
      <alignment horizontal="center"/>
    </xf>
    <xf numFmtId="0" fontId="2" fillId="0" borderId="192" xfId="0" applyFont="1" applyBorder="1" applyAlignment="1">
      <alignment horizontal="center"/>
    </xf>
    <xf numFmtId="0" fontId="2" fillId="0" borderId="188" xfId="0" applyFont="1" applyBorder="1" applyAlignment="1">
      <alignment horizontal="center"/>
    </xf>
    <xf numFmtId="0" fontId="16" fillId="0" borderId="111" xfId="0" applyFont="1" applyBorder="1" applyAlignment="1">
      <alignment horizontal="center" vertical="center"/>
    </xf>
    <xf numFmtId="0" fontId="16" fillId="0" borderId="108" xfId="0" applyFont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0" fontId="2" fillId="0" borderId="17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0" fillId="0" borderId="170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176" xfId="0" applyFont="1" applyBorder="1" applyAlignment="1">
      <alignment horizontal="center" vertical="center"/>
    </xf>
    <xf numFmtId="0" fontId="10" fillId="0" borderId="134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12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0" xfId="0" applyFont="1" applyBorder="1" applyAlignment="1">
      <alignment horizontal="center" vertical="center"/>
    </xf>
    <xf numFmtId="0" fontId="2" fillId="0" borderId="111" xfId="0" applyFont="1" applyBorder="1" applyAlignment="1">
      <alignment horizontal="center" vertical="center"/>
    </xf>
    <xf numFmtId="0" fontId="2" fillId="0" borderId="115" xfId="0" applyFont="1" applyBorder="1" applyAlignment="1">
      <alignment horizontal="center" vertical="center"/>
    </xf>
    <xf numFmtId="0" fontId="2" fillId="0" borderId="68" xfId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3" fontId="2" fillId="2" borderId="8" xfId="1" applyNumberFormat="1" applyFill="1" applyBorder="1" applyAlignment="1">
      <alignment horizontal="center" vertical="center"/>
    </xf>
    <xf numFmtId="3" fontId="2" fillId="2" borderId="32" xfId="1" applyNumberFormat="1" applyFill="1" applyBorder="1" applyAlignment="1">
      <alignment horizontal="center" vertical="center"/>
    </xf>
    <xf numFmtId="3" fontId="2" fillId="2" borderId="33" xfId="1" applyNumberFormat="1" applyFill="1" applyBorder="1" applyAlignment="1">
      <alignment horizontal="center" vertical="center"/>
    </xf>
    <xf numFmtId="3" fontId="2" fillId="0" borderId="8" xfId="1" applyNumberFormat="1" applyBorder="1" applyAlignment="1">
      <alignment horizontal="center" vertical="center"/>
    </xf>
    <xf numFmtId="3" fontId="2" fillId="0" borderId="32" xfId="1" applyNumberFormat="1" applyBorder="1" applyAlignment="1">
      <alignment horizontal="center" vertical="center"/>
    </xf>
    <xf numFmtId="3" fontId="2" fillId="0" borderId="33" xfId="1" applyNumberFormat="1" applyBorder="1" applyAlignment="1">
      <alignment horizontal="center" vertical="center"/>
    </xf>
    <xf numFmtId="3" fontId="1" fillId="0" borderId="8" xfId="2" applyNumberFormat="1" applyFont="1" applyBorder="1" applyAlignment="1">
      <alignment horizontal="center" vertical="center"/>
    </xf>
    <xf numFmtId="3" fontId="1" fillId="0" borderId="32" xfId="2" applyNumberFormat="1" applyFont="1" applyBorder="1" applyAlignment="1">
      <alignment horizontal="center" vertical="center"/>
    </xf>
    <xf numFmtId="3" fontId="1" fillId="0" borderId="33" xfId="2" applyNumberFormat="1" applyFont="1" applyBorder="1" applyAlignment="1">
      <alignment horizontal="center" vertical="center"/>
    </xf>
    <xf numFmtId="0" fontId="1" fillId="0" borderId="138" xfId="0" applyFont="1" applyBorder="1" applyAlignment="1">
      <alignment horizontal="center" vertical="center" wrapText="1"/>
    </xf>
    <xf numFmtId="0" fontId="1" fillId="0" borderId="24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06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/>
    </xf>
    <xf numFmtId="0" fontId="1" fillId="0" borderId="127" xfId="0" applyFont="1" applyBorder="1" applyAlignment="1">
      <alignment horizontal="center"/>
    </xf>
    <xf numFmtId="0" fontId="1" fillId="0" borderId="180" xfId="0" applyFont="1" applyBorder="1" applyAlignment="1">
      <alignment horizontal="center"/>
    </xf>
    <xf numFmtId="1" fontId="5" fillId="0" borderId="202" xfId="0" applyNumberFormat="1" applyFont="1" applyBorder="1" applyAlignment="1">
      <alignment horizontal="center" vertical="center"/>
    </xf>
    <xf numFmtId="1" fontId="5" fillId="0" borderId="138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0" fontId="1" fillId="0" borderId="242" xfId="0" applyFont="1" applyBorder="1" applyAlignment="1">
      <alignment horizontal="center" vertical="center"/>
    </xf>
    <xf numFmtId="0" fontId="1" fillId="0" borderId="130" xfId="0" applyFont="1" applyBorder="1" applyAlignment="1">
      <alignment horizontal="center" vertical="center"/>
    </xf>
    <xf numFmtId="0" fontId="1" fillId="0" borderId="243" xfId="0" applyFont="1" applyBorder="1" applyAlignment="1">
      <alignment horizontal="center" vertical="center"/>
    </xf>
    <xf numFmtId="0" fontId="1" fillId="0" borderId="181" xfId="0" applyFont="1" applyBorder="1" applyAlignment="1">
      <alignment horizontal="center"/>
    </xf>
    <xf numFmtId="3" fontId="1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128" xfId="0" applyFont="1" applyBorder="1" applyAlignment="1">
      <alignment horizontal="center"/>
    </xf>
    <xf numFmtId="0" fontId="1" fillId="0" borderId="244" xfId="0" applyFont="1" applyBorder="1" applyAlignment="1">
      <alignment horizontal="center"/>
    </xf>
    <xf numFmtId="0" fontId="1" fillId="0" borderId="250" xfId="0" applyFont="1" applyBorder="1" applyAlignment="1">
      <alignment horizontal="center"/>
    </xf>
    <xf numFmtId="0" fontId="1" fillId="0" borderId="135" xfId="0" applyFont="1" applyBorder="1" applyAlignment="1">
      <alignment horizontal="center"/>
    </xf>
    <xf numFmtId="0" fontId="1" fillId="0" borderId="146" xfId="0" quotePrefix="1" applyFont="1" applyBorder="1" applyAlignment="1">
      <alignment horizontal="center" vertical="center"/>
    </xf>
    <xf numFmtId="0" fontId="1" fillId="0" borderId="127" xfId="0" quotePrefix="1" applyFont="1" applyBorder="1" applyAlignment="1">
      <alignment horizontal="center" vertical="center"/>
    </xf>
    <xf numFmtId="0" fontId="1" fillId="0" borderId="128" xfId="0" quotePrefix="1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/>
    </xf>
    <xf numFmtId="0" fontId="2" fillId="0" borderId="146" xfId="0" applyFont="1" applyBorder="1" applyAlignment="1">
      <alignment horizontal="center" vertical="center"/>
    </xf>
    <xf numFmtId="0" fontId="2" fillId="0" borderId="127" xfId="0" applyFont="1" applyBorder="1" applyAlignment="1">
      <alignment horizontal="center" vertical="center"/>
    </xf>
    <xf numFmtId="0" fontId="2" fillId="0" borderId="128" xfId="0" applyFont="1" applyBorder="1" applyAlignment="1">
      <alignment horizontal="center" vertical="center"/>
    </xf>
    <xf numFmtId="0" fontId="2" fillId="0" borderId="150" xfId="0" applyFont="1" applyBorder="1" applyAlignment="1">
      <alignment horizontal="left" vertical="center"/>
    </xf>
    <xf numFmtId="0" fontId="2" fillId="0" borderId="154" xfId="0" applyFont="1" applyBorder="1" applyAlignment="1">
      <alignment horizontal="left" vertical="center"/>
    </xf>
    <xf numFmtId="164" fontId="2" fillId="0" borderId="118" xfId="0" applyNumberFormat="1" applyFont="1" applyBorder="1" applyAlignment="1">
      <alignment horizontal="center" vertical="center"/>
    </xf>
    <xf numFmtId="164" fontId="2" fillId="0" borderId="164" xfId="0" applyNumberFormat="1" applyFont="1" applyBorder="1" applyAlignment="1">
      <alignment horizontal="center" vertical="center"/>
    </xf>
    <xf numFmtId="164" fontId="2" fillId="0" borderId="165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13" fillId="0" borderId="160" xfId="0" applyFont="1" applyBorder="1" applyAlignment="1">
      <alignment horizontal="center" vertical="center"/>
    </xf>
    <xf numFmtId="0" fontId="13" fillId="0" borderId="161" xfId="0" applyFont="1" applyBorder="1" applyAlignment="1">
      <alignment horizontal="center" vertical="center"/>
    </xf>
    <xf numFmtId="0" fontId="13" fillId="0" borderId="125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/>
    </xf>
    <xf numFmtId="0" fontId="5" fillId="0" borderId="156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/>
    </xf>
    <xf numFmtId="0" fontId="5" fillId="0" borderId="267" xfId="0" applyFont="1" applyBorder="1" applyAlignment="1">
      <alignment horizontal="center" vertical="center"/>
    </xf>
    <xf numFmtId="0" fontId="2" fillId="0" borderId="265" xfId="0" applyFont="1" applyBorder="1" applyAlignment="1">
      <alignment horizontal="left" vertical="center"/>
    </xf>
    <xf numFmtId="0" fontId="2" fillId="0" borderId="266" xfId="0" applyFont="1" applyBorder="1" applyAlignment="1">
      <alignment horizontal="left" vertical="center"/>
    </xf>
    <xf numFmtId="3" fontId="2" fillId="0" borderId="32" xfId="0" applyNumberFormat="1" applyFont="1" applyBorder="1" applyAlignment="1">
      <alignment horizontal="center" vertical="center"/>
    </xf>
    <xf numFmtId="3" fontId="2" fillId="0" borderId="33" xfId="0" applyNumberFormat="1" applyFont="1" applyBorder="1" applyAlignment="1">
      <alignment horizontal="center" vertical="center"/>
    </xf>
    <xf numFmtId="3" fontId="2" fillId="0" borderId="129" xfId="2" applyNumberFormat="1" applyFont="1" applyFill="1" applyBorder="1" applyAlignment="1">
      <alignment horizontal="center" vertical="center"/>
    </xf>
    <xf numFmtId="3" fontId="2" fillId="0" borderId="12" xfId="2" applyNumberFormat="1" applyFont="1" applyFill="1" applyBorder="1" applyAlignment="1">
      <alignment horizontal="center" vertical="center"/>
    </xf>
    <xf numFmtId="3" fontId="2" fillId="0" borderId="52" xfId="2" applyNumberFormat="1" applyFont="1" applyFill="1" applyBorder="1" applyAlignment="1">
      <alignment horizontal="center" vertical="center"/>
    </xf>
    <xf numFmtId="3" fontId="25" fillId="0" borderId="8" xfId="1" applyNumberFormat="1" applyFont="1" applyBorder="1" applyAlignment="1">
      <alignment horizontal="center" vertical="center"/>
    </xf>
    <xf numFmtId="3" fontId="25" fillId="0" borderId="32" xfId="1" applyNumberFormat="1" applyFont="1" applyBorder="1" applyAlignment="1">
      <alignment horizontal="center" vertical="center"/>
    </xf>
    <xf numFmtId="3" fontId="25" fillId="0" borderId="33" xfId="1" applyNumberFormat="1" applyFont="1" applyBorder="1" applyAlignment="1">
      <alignment horizontal="center" vertical="center"/>
    </xf>
    <xf numFmtId="0" fontId="4" fillId="0" borderId="4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52" xfId="1" applyFont="1" applyBorder="1" applyAlignment="1">
      <alignment horizontal="center" vertical="center"/>
    </xf>
    <xf numFmtId="0" fontId="4" fillId="0" borderId="34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3" fillId="0" borderId="12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42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5" fillId="0" borderId="40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37" xfId="1" applyFont="1" applyBorder="1" applyAlignment="1">
      <alignment horizontal="center" vertical="center"/>
    </xf>
    <xf numFmtId="0" fontId="5" fillId="0" borderId="19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2" fillId="0" borderId="24" xfId="1" applyBorder="1" applyAlignment="1">
      <alignment horizontal="center" vertical="center"/>
    </xf>
    <xf numFmtId="0" fontId="2" fillId="0" borderId="16" xfId="1" applyBorder="1" applyAlignment="1">
      <alignment horizontal="center" vertical="center"/>
    </xf>
    <xf numFmtId="0" fontId="2" fillId="0" borderId="25" xfId="1" applyBorder="1" applyAlignment="1">
      <alignment horizontal="center" vertical="center"/>
    </xf>
    <xf numFmtId="0" fontId="2" fillId="0" borderId="13" xfId="1" applyBorder="1" applyAlignment="1">
      <alignment horizontal="center" vertical="center"/>
    </xf>
    <xf numFmtId="0" fontId="2" fillId="0" borderId="14" xfId="1" applyBorder="1" applyAlignment="1">
      <alignment horizontal="center" vertical="center"/>
    </xf>
    <xf numFmtId="0" fontId="2" fillId="0" borderId="15" xfId="1" applyBorder="1" applyAlignment="1">
      <alignment horizontal="center" vertical="center"/>
    </xf>
    <xf numFmtId="0" fontId="6" fillId="0" borderId="51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6" fillId="0" borderId="54" xfId="0" applyFont="1" applyBorder="1" applyAlignment="1">
      <alignment horizontal="center"/>
    </xf>
    <xf numFmtId="0" fontId="3" fillId="0" borderId="39" xfId="1" applyFont="1" applyBorder="1" applyAlignment="1">
      <alignment horizontal="center" vertical="center"/>
    </xf>
    <xf numFmtId="0" fontId="3" fillId="0" borderId="38" xfId="1" applyFont="1" applyBorder="1" applyAlignment="1">
      <alignment horizontal="center" vertical="center"/>
    </xf>
    <xf numFmtId="0" fontId="3" fillId="0" borderId="41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112" xfId="0" applyFont="1" applyBorder="1" applyAlignment="1">
      <alignment horizontal="center" vertical="center"/>
    </xf>
    <xf numFmtId="0" fontId="16" fillId="0" borderId="242" xfId="1" applyFont="1" applyBorder="1" applyAlignment="1">
      <alignment horizontal="center" vertical="center"/>
    </xf>
    <xf numFmtId="0" fontId="16" fillId="0" borderId="130" xfId="1" applyFont="1" applyBorder="1" applyAlignment="1">
      <alignment horizontal="center" vertical="center"/>
    </xf>
    <xf numFmtId="0" fontId="14" fillId="6" borderId="108" xfId="1" applyFont="1" applyFill="1" applyBorder="1" applyAlignment="1">
      <alignment horizontal="center" vertical="center"/>
    </xf>
    <xf numFmtId="0" fontId="14" fillId="6" borderId="115" xfId="1" applyFont="1" applyFill="1" applyBorder="1" applyAlignment="1">
      <alignment horizontal="center" vertical="center"/>
    </xf>
    <xf numFmtId="0" fontId="4" fillId="5" borderId="129" xfId="1" applyFont="1" applyFill="1" applyBorder="1" applyAlignment="1">
      <alignment horizontal="center" vertical="center"/>
    </xf>
    <xf numFmtId="0" fontId="4" fillId="5" borderId="12" xfId="1" applyFont="1" applyFill="1" applyBorder="1" applyAlignment="1">
      <alignment horizontal="center" vertical="center"/>
    </xf>
    <xf numFmtId="0" fontId="4" fillId="5" borderId="52" xfId="1" applyFont="1" applyFill="1" applyBorder="1" applyAlignment="1">
      <alignment horizontal="center" vertical="center"/>
    </xf>
    <xf numFmtId="0" fontId="4" fillId="5" borderId="112" xfId="1" applyFont="1" applyFill="1" applyBorder="1" applyAlignment="1">
      <alignment horizontal="center" vertical="center"/>
    </xf>
    <xf numFmtId="0" fontId="4" fillId="5" borderId="108" xfId="1" applyFont="1" applyFill="1" applyBorder="1" applyAlignment="1">
      <alignment horizontal="center" vertical="center"/>
    </xf>
    <xf numFmtId="0" fontId="4" fillId="5" borderId="115" xfId="1" applyFont="1" applyFill="1" applyBorder="1" applyAlignment="1">
      <alignment horizontal="center" vertical="center"/>
    </xf>
    <xf numFmtId="0" fontId="3" fillId="6" borderId="91" xfId="1" applyFont="1" applyFill="1" applyBorder="1" applyAlignment="1">
      <alignment horizontal="center" vertical="center" wrapText="1"/>
    </xf>
    <xf numFmtId="0" fontId="3" fillId="6" borderId="254" xfId="1" applyFont="1" applyFill="1" applyBorder="1" applyAlignment="1">
      <alignment horizontal="center" vertical="center" wrapText="1"/>
    </xf>
    <xf numFmtId="0" fontId="3" fillId="6" borderId="25" xfId="1" applyFont="1" applyFill="1" applyBorder="1" applyAlignment="1">
      <alignment horizontal="center" vertical="center" wrapText="1"/>
    </xf>
    <xf numFmtId="0" fontId="3" fillId="6" borderId="115" xfId="1" applyFont="1" applyFill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112" xfId="0" applyFont="1" applyBorder="1" applyAlignment="1">
      <alignment horizontal="center" vertical="center" wrapText="1"/>
    </xf>
    <xf numFmtId="0" fontId="5" fillId="0" borderId="120" xfId="0" applyFont="1" applyBorder="1" applyAlignment="1">
      <alignment horizontal="center" vertical="center" wrapText="1"/>
    </xf>
    <xf numFmtId="0" fontId="3" fillId="6" borderId="25" xfId="1" applyFont="1" applyFill="1" applyBorder="1" applyAlignment="1">
      <alignment horizontal="center" vertical="center"/>
    </xf>
    <xf numFmtId="0" fontId="3" fillId="6" borderId="115" xfId="1" applyFont="1" applyFill="1" applyBorder="1" applyAlignment="1">
      <alignment horizontal="center" vertical="center"/>
    </xf>
    <xf numFmtId="0" fontId="3" fillId="6" borderId="16" xfId="1" applyFont="1" applyFill="1" applyBorder="1" applyAlignment="1">
      <alignment horizontal="center" vertical="center"/>
    </xf>
    <xf numFmtId="0" fontId="3" fillId="6" borderId="108" xfId="1" applyFont="1" applyFill="1" applyBorder="1" applyAlignment="1">
      <alignment horizontal="center" vertical="center"/>
    </xf>
    <xf numFmtId="0" fontId="3" fillId="6" borderId="105" xfId="1" applyFont="1" applyFill="1" applyBorder="1" applyAlignment="1">
      <alignment horizontal="center" vertical="center"/>
    </xf>
    <xf numFmtId="0" fontId="3" fillId="6" borderId="109" xfId="1" applyFont="1" applyFill="1" applyBorder="1" applyAlignment="1">
      <alignment horizontal="center" vertical="center"/>
    </xf>
    <xf numFmtId="0" fontId="3" fillId="6" borderId="24" xfId="1" applyFont="1" applyFill="1" applyBorder="1" applyAlignment="1">
      <alignment horizontal="center" vertical="center"/>
    </xf>
    <xf numFmtId="0" fontId="3" fillId="6" borderId="44" xfId="1" applyFont="1" applyFill="1" applyBorder="1" applyAlignment="1">
      <alignment horizontal="center" vertical="center"/>
    </xf>
    <xf numFmtId="0" fontId="3" fillId="6" borderId="112" xfId="1" applyFont="1" applyFill="1" applyBorder="1" applyAlignment="1">
      <alignment horizontal="center" vertical="center"/>
    </xf>
    <xf numFmtId="0" fontId="3" fillId="6" borderId="120" xfId="1" applyFont="1" applyFill="1" applyBorder="1" applyAlignment="1">
      <alignment horizontal="center" vertical="center"/>
    </xf>
    <xf numFmtId="0" fontId="14" fillId="6" borderId="244" xfId="1" applyFont="1" applyFill="1" applyBorder="1" applyAlignment="1">
      <alignment horizontal="center" vertical="center"/>
    </xf>
    <xf numFmtId="0" fontId="14" fillId="6" borderId="243" xfId="1" applyFont="1" applyFill="1" applyBorder="1" applyAlignment="1">
      <alignment horizontal="center" vertical="center"/>
    </xf>
    <xf numFmtId="0" fontId="5" fillId="0" borderId="171" xfId="0" applyFont="1" applyBorder="1" applyAlignment="1">
      <alignment horizontal="center"/>
    </xf>
    <xf numFmtId="0" fontId="1" fillId="0" borderId="171" xfId="0" applyFont="1" applyBorder="1" applyAlignment="1">
      <alignment horizontal="center"/>
    </xf>
    <xf numFmtId="0" fontId="16" fillId="0" borderId="180" xfId="0" applyFont="1" applyBorder="1" applyAlignment="1">
      <alignment horizontal="center" vertical="center"/>
    </xf>
    <xf numFmtId="0" fontId="16" fillId="0" borderId="172" xfId="0" applyFont="1" applyBorder="1" applyAlignment="1">
      <alignment horizontal="center" vertical="center"/>
    </xf>
    <xf numFmtId="0" fontId="9" fillId="0" borderId="13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/>
    </xf>
    <xf numFmtId="0" fontId="22" fillId="0" borderId="32" xfId="0" applyFont="1" applyBorder="1" applyAlignment="1">
      <alignment horizontal="center"/>
    </xf>
    <xf numFmtId="0" fontId="22" fillId="0" borderId="33" xfId="0" applyFont="1" applyBorder="1" applyAlignment="1">
      <alignment horizontal="center"/>
    </xf>
    <xf numFmtId="0" fontId="0" fillId="0" borderId="170" xfId="0" applyBorder="1" applyAlignment="1">
      <alignment horizontal="center" vertical="center"/>
    </xf>
    <xf numFmtId="0" fontId="0" fillId="0" borderId="169" xfId="0" applyBorder="1" applyAlignment="1">
      <alignment horizontal="center" vertical="center"/>
    </xf>
    <xf numFmtId="3" fontId="0" fillId="0" borderId="44" xfId="0" applyNumberFormat="1" applyBorder="1" applyAlignment="1">
      <alignment horizontal="center" vertical="center"/>
    </xf>
    <xf numFmtId="0" fontId="0" fillId="0" borderId="120" xfId="0" applyBorder="1" applyAlignment="1">
      <alignment horizontal="center" vertical="center"/>
    </xf>
    <xf numFmtId="43" fontId="0" fillId="0" borderId="170" xfId="2" applyFont="1" applyBorder="1" applyAlignment="1">
      <alignment horizontal="center" vertical="center" wrapText="1"/>
    </xf>
    <xf numFmtId="43" fontId="0" fillId="0" borderId="39" xfId="2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43" fontId="0" fillId="0" borderId="170" xfId="0" applyNumberForma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108" xfId="0" applyBorder="1" applyAlignment="1">
      <alignment horizontal="center" wrapText="1"/>
    </xf>
    <xf numFmtId="0" fontId="0" fillId="0" borderId="120" xfId="0" applyBorder="1" applyAlignment="1">
      <alignment horizontal="center" wrapText="1"/>
    </xf>
    <xf numFmtId="3" fontId="0" fillId="0" borderId="170" xfId="0" applyNumberFormat="1" applyBorder="1" applyAlignment="1">
      <alignment horizontal="center" vertical="center"/>
    </xf>
    <xf numFmtId="3" fontId="0" fillId="0" borderId="169" xfId="0" applyNumberFormat="1" applyBorder="1" applyAlignment="1">
      <alignment horizontal="center" vertical="center"/>
    </xf>
    <xf numFmtId="0" fontId="0" fillId="0" borderId="180" xfId="0" applyBorder="1" applyAlignment="1">
      <alignment horizontal="center"/>
    </xf>
    <xf numFmtId="0" fontId="0" fillId="0" borderId="172" xfId="0" applyBorder="1" applyAlignment="1">
      <alignment horizontal="center"/>
    </xf>
    <xf numFmtId="0" fontId="0" fillId="0" borderId="173" xfId="0" applyBorder="1" applyAlignment="1">
      <alignment horizontal="center"/>
    </xf>
    <xf numFmtId="0" fontId="23" fillId="2" borderId="41" xfId="0" applyFont="1" applyFill="1" applyBorder="1" applyAlignment="1">
      <alignment horizontal="center" vertical="center"/>
    </xf>
    <xf numFmtId="0" fontId="23" fillId="2" borderId="12" xfId="0" applyFont="1" applyFill="1" applyBorder="1" applyAlignment="1">
      <alignment horizontal="center" vertical="center"/>
    </xf>
    <xf numFmtId="0" fontId="23" fillId="2" borderId="52" xfId="0" applyFont="1" applyFill="1" applyBorder="1" applyAlignment="1">
      <alignment horizontal="center" vertical="center"/>
    </xf>
    <xf numFmtId="0" fontId="23" fillId="2" borderId="111" xfId="0" applyFont="1" applyFill="1" applyBorder="1" applyAlignment="1">
      <alignment horizontal="center" vertical="center"/>
    </xf>
    <xf numFmtId="0" fontId="23" fillId="2" borderId="108" xfId="0" applyFont="1" applyFill="1" applyBorder="1" applyAlignment="1">
      <alignment horizontal="center" vertical="center"/>
    </xf>
    <xf numFmtId="0" fontId="23" fillId="2" borderId="115" xfId="0" applyFont="1" applyFill="1" applyBorder="1" applyAlignment="1">
      <alignment horizontal="center" vertical="center"/>
    </xf>
    <xf numFmtId="0" fontId="13" fillId="4" borderId="244" xfId="0" applyFont="1" applyFill="1" applyBorder="1" applyAlignment="1">
      <alignment horizontal="center" vertical="center"/>
    </xf>
    <xf numFmtId="0" fontId="13" fillId="4" borderId="130" xfId="0" applyFont="1" applyFill="1" applyBorder="1" applyAlignment="1">
      <alignment horizontal="center" vertical="center"/>
    </xf>
    <xf numFmtId="0" fontId="13" fillId="4" borderId="243" xfId="0" applyFont="1" applyFill="1" applyBorder="1" applyAlignment="1">
      <alignment horizontal="center" vertical="center"/>
    </xf>
    <xf numFmtId="2" fontId="2" fillId="0" borderId="8" xfId="2" applyNumberFormat="1" applyFont="1" applyBorder="1" applyAlignment="1">
      <alignment horizontal="center" vertical="center"/>
    </xf>
    <xf numFmtId="2" fontId="2" fillId="0" borderId="32" xfId="2" applyNumberFormat="1" applyFont="1" applyBorder="1" applyAlignment="1">
      <alignment horizontal="center" vertical="center"/>
    </xf>
    <xf numFmtId="2" fontId="2" fillId="0" borderId="33" xfId="2" applyNumberFormat="1" applyFont="1" applyBorder="1" applyAlignment="1">
      <alignment horizontal="center" vertical="center"/>
    </xf>
    <xf numFmtId="0" fontId="2" fillId="2" borderId="8" xfId="1" applyFill="1" applyBorder="1" applyAlignment="1">
      <alignment horizontal="center" vertical="center"/>
    </xf>
    <xf numFmtId="0" fontId="2" fillId="2" borderId="32" xfId="1" applyFill="1" applyBorder="1" applyAlignment="1">
      <alignment horizontal="center" vertical="center"/>
    </xf>
    <xf numFmtId="0" fontId="2" fillId="2" borderId="33" xfId="1" applyFill="1" applyBorder="1" applyAlignment="1">
      <alignment horizontal="center" vertical="center"/>
    </xf>
    <xf numFmtId="0" fontId="2" fillId="0" borderId="12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0" fillId="0" borderId="77" xfId="0" applyBorder="1" applyAlignment="1">
      <alignment horizontal="center"/>
    </xf>
    <xf numFmtId="0" fontId="0" fillId="0" borderId="78" xfId="0" applyBorder="1" applyAlignment="1">
      <alignment horizontal="center"/>
    </xf>
    <xf numFmtId="0" fontId="0" fillId="0" borderId="79" xfId="0" applyBorder="1" applyAlignment="1">
      <alignment horizontal="center"/>
    </xf>
    <xf numFmtId="0" fontId="4" fillId="2" borderId="41" xfId="1" applyFont="1" applyFill="1" applyBorder="1" applyAlignment="1">
      <alignment horizontal="center" vertical="center"/>
    </xf>
    <xf numFmtId="0" fontId="4" fillId="2" borderId="34" xfId="1" applyFont="1" applyFill="1" applyBorder="1" applyAlignment="1">
      <alignment horizontal="center" vertical="center"/>
    </xf>
    <xf numFmtId="0" fontId="3" fillId="4" borderId="39" xfId="1" applyFont="1" applyFill="1" applyBorder="1" applyAlignment="1">
      <alignment horizontal="center" vertical="center"/>
    </xf>
    <xf numFmtId="0" fontId="3" fillId="4" borderId="38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3" xfId="1" applyFont="1" applyFill="1" applyBorder="1" applyAlignment="1">
      <alignment horizontal="center" vertical="center" wrapText="1"/>
    </xf>
    <xf numFmtId="0" fontId="5" fillId="4" borderId="40" xfId="1" applyFont="1" applyFill="1" applyBorder="1" applyAlignment="1">
      <alignment horizontal="center" vertical="center"/>
    </xf>
    <xf numFmtId="0" fontId="5" fillId="4" borderId="19" xfId="1" applyFont="1" applyFill="1" applyBorder="1" applyAlignment="1">
      <alignment horizontal="center" vertical="center"/>
    </xf>
    <xf numFmtId="0" fontId="3" fillId="4" borderId="42" xfId="1" applyFont="1" applyFill="1" applyBorder="1" applyAlignment="1">
      <alignment horizontal="center" vertical="center"/>
    </xf>
    <xf numFmtId="0" fontId="3" fillId="4" borderId="6" xfId="1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43" fontId="32" fillId="0" borderId="11" xfId="2" applyFont="1" applyBorder="1" applyAlignment="1">
      <alignment vertical="center"/>
    </xf>
    <xf numFmtId="0" fontId="27" fillId="8" borderId="143" xfId="0" applyFont="1" applyFill="1" applyBorder="1" applyAlignment="1">
      <alignment horizontal="center" vertical="center"/>
    </xf>
    <xf numFmtId="0" fontId="27" fillId="8" borderId="304" xfId="0" applyFont="1" applyFill="1" applyBorder="1" applyAlignment="1">
      <alignment horizontal="center" vertical="center"/>
    </xf>
    <xf numFmtId="0" fontId="1" fillId="0" borderId="268" xfId="0" applyFont="1" applyBorder="1" applyAlignment="1">
      <alignment horizontal="center"/>
    </xf>
    <xf numFmtId="0" fontId="14" fillId="0" borderId="309" xfId="0" applyFont="1" applyBorder="1" applyAlignment="1">
      <alignment horizontal="center" vertical="center"/>
    </xf>
    <xf numFmtId="0" fontId="1" fillId="0" borderId="0" xfId="0" applyFont="1" applyAlignment="1"/>
    <xf numFmtId="0" fontId="5" fillId="0" borderId="0" xfId="0" applyFont="1" applyBorder="1" applyAlignment="1">
      <alignment horizontal="center"/>
    </xf>
    <xf numFmtId="43" fontId="5" fillId="0" borderId="0" xfId="2" applyFont="1" applyBorder="1" applyAlignment="1">
      <alignment horizontal="center" vertical="center"/>
    </xf>
    <xf numFmtId="43" fontId="5" fillId="0" borderId="0" xfId="0" applyNumberFormat="1" applyFont="1" applyBorder="1" applyAlignment="1">
      <alignment horizontal="center" vertical="center"/>
    </xf>
    <xf numFmtId="0" fontId="29" fillId="0" borderId="48" xfId="0" applyFont="1" applyBorder="1" applyAlignment="1">
      <alignment horizontal="center" wrapText="1"/>
    </xf>
    <xf numFmtId="0" fontId="1" fillId="0" borderId="154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43" fontId="26" fillId="0" borderId="145" xfId="2" applyFont="1" applyBorder="1" applyAlignment="1">
      <alignment horizontal="center" vertical="center"/>
    </xf>
    <xf numFmtId="0" fontId="29" fillId="0" borderId="299" xfId="0" applyFont="1" applyBorder="1" applyAlignment="1">
      <alignment horizontal="center"/>
    </xf>
    <xf numFmtId="43" fontId="29" fillId="0" borderId="300" xfId="2" applyFont="1" applyBorder="1" applyAlignment="1"/>
    <xf numFmtId="0" fontId="29" fillId="0" borderId="304" xfId="0" applyFont="1" applyBorder="1" applyAlignment="1">
      <alignment horizontal="center"/>
    </xf>
    <xf numFmtId="0" fontId="29" fillId="0" borderId="310" xfId="0" applyFont="1" applyBorder="1" applyAlignment="1">
      <alignment horizontal="center" wrapText="1"/>
    </xf>
    <xf numFmtId="0" fontId="1" fillId="0" borderId="143" xfId="0" applyFont="1" applyBorder="1" applyAlignment="1">
      <alignment horizontal="center" vertical="center"/>
    </xf>
    <xf numFmtId="164" fontId="2" fillId="0" borderId="143" xfId="0" applyNumberFormat="1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5" fillId="0" borderId="253" xfId="0" applyFont="1" applyBorder="1" applyAlignment="1">
      <alignment horizontal="center" vertical="center"/>
    </xf>
    <xf numFmtId="0" fontId="5" fillId="0" borderId="297" xfId="0" applyFont="1" applyBorder="1" applyAlignment="1">
      <alignment horizontal="center" vertical="center"/>
    </xf>
    <xf numFmtId="0" fontId="5" fillId="0" borderId="298" xfId="0" applyFont="1" applyBorder="1" applyAlignment="1">
      <alignment horizontal="center" vertical="center"/>
    </xf>
    <xf numFmtId="164" fontId="2" fillId="0" borderId="145" xfId="0" applyNumberFormat="1" applyFont="1" applyBorder="1" applyAlignment="1">
      <alignment horizontal="center" vertical="center"/>
    </xf>
    <xf numFmtId="0" fontId="1" fillId="0" borderId="298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/>
    </xf>
    <xf numFmtId="43" fontId="5" fillId="0" borderId="50" xfId="2" applyFont="1" applyBorder="1"/>
    <xf numFmtId="43" fontId="5" fillId="0" borderId="144" xfId="2" applyFont="1" applyBorder="1"/>
    <xf numFmtId="0" fontId="29" fillId="0" borderId="8" xfId="0" applyFont="1" applyBorder="1" applyAlignment="1">
      <alignment horizontal="center" vertical="center" wrapText="1"/>
    </xf>
    <xf numFmtId="0" fontId="29" fillId="0" borderId="103" xfId="0" applyFont="1" applyBorder="1" applyAlignment="1">
      <alignment horizontal="center" vertical="center" wrapText="1"/>
    </xf>
    <xf numFmtId="43" fontId="29" fillId="0" borderId="11" xfId="0" applyNumberFormat="1" applyFont="1" applyBorder="1" applyAlignment="1">
      <alignment vertical="center" wrapText="1"/>
    </xf>
    <xf numFmtId="43" fontId="5" fillId="0" borderId="11" xfId="0" applyNumberFormat="1" applyFont="1" applyBorder="1"/>
    <xf numFmtId="0" fontId="1" fillId="0" borderId="314" xfId="0" applyFont="1" applyBorder="1" applyAlignment="1">
      <alignment horizontal="center" vertical="center"/>
    </xf>
    <xf numFmtId="0" fontId="1" fillId="0" borderId="299" xfId="0" applyFont="1" applyBorder="1" applyAlignment="1">
      <alignment horizontal="center" vertical="center"/>
    </xf>
    <xf numFmtId="0" fontId="1" fillId="0" borderId="300" xfId="0" applyFont="1" applyBorder="1" applyAlignment="1">
      <alignment horizontal="center" vertical="center"/>
    </xf>
    <xf numFmtId="0" fontId="1" fillId="0" borderId="265" xfId="0" applyFont="1" applyBorder="1" applyAlignment="1">
      <alignment horizontal="center" vertical="center"/>
    </xf>
    <xf numFmtId="0" fontId="1" fillId="0" borderId="308" xfId="0" applyFont="1" applyBorder="1" applyAlignment="1">
      <alignment horizontal="center" vertical="center"/>
    </xf>
    <xf numFmtId="0" fontId="1" fillId="0" borderId="307" xfId="0" applyFont="1" applyBorder="1" applyAlignment="1">
      <alignment horizontal="center" vertical="center"/>
    </xf>
    <xf numFmtId="43" fontId="1" fillId="0" borderId="256" xfId="2" applyFont="1" applyBorder="1" applyAlignment="1">
      <alignment horizontal="center" vertical="center"/>
    </xf>
    <xf numFmtId="43" fontId="1" fillId="0" borderId="281" xfId="0" applyNumberFormat="1" applyFont="1" applyBorder="1" applyAlignment="1">
      <alignment horizontal="center" vertical="center"/>
    </xf>
    <xf numFmtId="43" fontId="1" fillId="0" borderId="259" xfId="2" applyFont="1" applyBorder="1" applyAlignment="1">
      <alignment horizontal="center" vertical="center"/>
    </xf>
    <xf numFmtId="0" fontId="2" fillId="0" borderId="275" xfId="0" applyFont="1" applyBorder="1" applyAlignment="1">
      <alignment horizontal="center" vertical="center"/>
    </xf>
    <xf numFmtId="0" fontId="2" fillId="0" borderId="307" xfId="0" applyFont="1" applyBorder="1" applyAlignment="1">
      <alignment horizontal="center" vertical="center"/>
    </xf>
    <xf numFmtId="0" fontId="2" fillId="0" borderId="312" xfId="0" applyFont="1" applyBorder="1" applyAlignment="1">
      <alignment horizontal="center" vertical="center"/>
    </xf>
    <xf numFmtId="0" fontId="2" fillId="0" borderId="271" xfId="0" applyFont="1" applyBorder="1" applyAlignment="1">
      <alignment horizontal="center" vertical="center"/>
    </xf>
    <xf numFmtId="0" fontId="2" fillId="0" borderId="109" xfId="0" applyFont="1" applyBorder="1" applyAlignment="1">
      <alignment horizontal="center" vertical="center"/>
    </xf>
    <xf numFmtId="0" fontId="2" fillId="0" borderId="268" xfId="0" applyFont="1" applyBorder="1" applyAlignment="1">
      <alignment horizontal="center" vertical="center"/>
    </xf>
    <xf numFmtId="0" fontId="2" fillId="0" borderId="276" xfId="0" applyFont="1" applyBorder="1" applyAlignment="1">
      <alignment horizontal="center" vertical="center"/>
    </xf>
    <xf numFmtId="0" fontId="2" fillId="0" borderId="255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2" fillId="0" borderId="311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/>
    </xf>
    <xf numFmtId="0" fontId="2" fillId="0" borderId="3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" fillId="0" borderId="316" xfId="0" applyFont="1" applyBorder="1" applyAlignment="1">
      <alignment horizontal="center" vertical="center" wrapText="1"/>
    </xf>
    <xf numFmtId="0" fontId="1" fillId="0" borderId="253" xfId="0" applyFont="1" applyBorder="1" applyAlignment="1">
      <alignment horizontal="center" vertical="center"/>
    </xf>
    <xf numFmtId="0" fontId="1" fillId="0" borderId="105" xfId="0" applyFont="1" applyBorder="1" applyAlignment="1">
      <alignment horizontal="center" vertical="center"/>
    </xf>
    <xf numFmtId="0" fontId="1" fillId="0" borderId="109" xfId="0" applyFont="1" applyBorder="1" applyAlignment="1">
      <alignment horizontal="center" vertical="center"/>
    </xf>
    <xf numFmtId="0" fontId="5" fillId="0" borderId="317" xfId="0" applyFont="1" applyBorder="1" applyAlignment="1">
      <alignment horizontal="center" vertical="center"/>
    </xf>
    <xf numFmtId="0" fontId="1" fillId="0" borderId="114" xfId="0" applyFont="1" applyBorder="1" applyAlignment="1">
      <alignment horizontal="center" vertical="center"/>
    </xf>
    <xf numFmtId="0" fontId="1" fillId="0" borderId="102" xfId="0" applyFont="1" applyBorder="1" applyAlignment="1">
      <alignment horizontal="center" vertical="center"/>
    </xf>
    <xf numFmtId="0" fontId="1" fillId="0" borderId="318" xfId="0" applyFont="1" applyBorder="1" applyAlignment="1">
      <alignment horizontal="center" vertical="center"/>
    </xf>
    <xf numFmtId="0" fontId="1" fillId="0" borderId="271" xfId="0" applyFont="1" applyBorder="1" applyAlignment="1">
      <alignment horizontal="center" vertical="center"/>
    </xf>
    <xf numFmtId="0" fontId="1" fillId="0" borderId="288" xfId="0" applyFont="1" applyBorder="1" applyAlignment="1">
      <alignment horizontal="center" vertical="center"/>
    </xf>
    <xf numFmtId="0" fontId="1" fillId="0" borderId="311" xfId="0" applyFont="1" applyBorder="1" applyAlignment="1">
      <alignment horizontal="center" vertical="center"/>
    </xf>
    <xf numFmtId="0" fontId="5" fillId="0" borderId="203" xfId="0" applyFont="1" applyBorder="1" applyAlignment="1">
      <alignment horizontal="center" vertical="center"/>
    </xf>
    <xf numFmtId="0" fontId="1" fillId="0" borderId="268" xfId="0" applyFont="1" applyBorder="1" applyAlignment="1">
      <alignment horizontal="center" vertical="center"/>
    </xf>
    <xf numFmtId="0" fontId="2" fillId="0" borderId="319" xfId="0" applyFont="1" applyBorder="1" applyAlignment="1">
      <alignment horizontal="center"/>
    </xf>
    <xf numFmtId="0" fontId="2" fillId="0" borderId="262" xfId="0" applyFont="1" applyBorder="1" applyAlignment="1">
      <alignment horizontal="center"/>
    </xf>
    <xf numFmtId="0" fontId="2" fillId="0" borderId="304" xfId="0" applyFont="1" applyBorder="1" applyAlignment="1">
      <alignment horizontal="center"/>
    </xf>
    <xf numFmtId="0" fontId="2" fillId="0" borderId="140" xfId="0" applyFont="1" applyBorder="1" applyAlignment="1">
      <alignment horizontal="center"/>
    </xf>
    <xf numFmtId="0" fontId="2" fillId="0" borderId="320" xfId="0" applyFont="1" applyBorder="1" applyAlignment="1">
      <alignment horizontal="center"/>
    </xf>
    <xf numFmtId="0" fontId="2" fillId="0" borderId="201" xfId="0" applyFont="1" applyBorder="1" applyAlignment="1">
      <alignment horizontal="center"/>
    </xf>
    <xf numFmtId="164" fontId="2" fillId="0" borderId="319" xfId="0" applyNumberFormat="1" applyFont="1" applyBorder="1" applyAlignment="1">
      <alignment horizontal="center"/>
    </xf>
    <xf numFmtId="0" fontId="1" fillId="0" borderId="224" xfId="0" applyFont="1" applyBorder="1" applyAlignment="1">
      <alignment horizontal="center"/>
    </xf>
    <xf numFmtId="0" fontId="1" fillId="0" borderId="306" xfId="0" applyFont="1" applyBorder="1" applyAlignment="1">
      <alignment horizontal="center"/>
    </xf>
    <xf numFmtId="0" fontId="1" fillId="0" borderId="199" xfId="0" applyFont="1" applyBorder="1" applyAlignment="1">
      <alignment horizontal="center"/>
    </xf>
    <xf numFmtId="0" fontId="1" fillId="0" borderId="276" xfId="0" applyFont="1" applyBorder="1" applyAlignment="1">
      <alignment horizontal="center"/>
    </xf>
    <xf numFmtId="0" fontId="2" fillId="0" borderId="224" xfId="0" applyFont="1" applyBorder="1" applyAlignment="1">
      <alignment horizontal="center"/>
    </xf>
    <xf numFmtId="0" fontId="2" fillId="0" borderId="306" xfId="0" applyFont="1" applyBorder="1" applyAlignment="1">
      <alignment horizontal="center"/>
    </xf>
    <xf numFmtId="0" fontId="2" fillId="0" borderId="199" xfId="0" applyFont="1" applyBorder="1" applyAlignment="1">
      <alignment horizontal="center"/>
    </xf>
    <xf numFmtId="0" fontId="2" fillId="0" borderId="276" xfId="0" applyFont="1" applyBorder="1" applyAlignment="1">
      <alignment horizontal="center"/>
    </xf>
    <xf numFmtId="0" fontId="2" fillId="0" borderId="200" xfId="0" applyFont="1" applyBorder="1" applyAlignment="1">
      <alignment horizontal="center"/>
    </xf>
    <xf numFmtId="0" fontId="2" fillId="0" borderId="305" xfId="0" applyFont="1" applyBorder="1" applyAlignment="1">
      <alignment horizontal="center"/>
    </xf>
    <xf numFmtId="164" fontId="2" fillId="0" borderId="287" xfId="0" applyNumberFormat="1" applyFont="1" applyBorder="1" applyAlignment="1">
      <alignment horizontal="center"/>
    </xf>
    <xf numFmtId="0" fontId="1" fillId="0" borderId="287" xfId="0" applyFont="1" applyBorder="1" applyAlignment="1">
      <alignment horizontal="center"/>
    </xf>
    <xf numFmtId="0" fontId="1" fillId="0" borderId="286" xfId="0" applyFont="1" applyBorder="1" applyAlignment="1">
      <alignment horizontal="center"/>
    </xf>
    <xf numFmtId="0" fontId="2" fillId="0" borderId="287" xfId="0" applyFont="1" applyBorder="1" applyAlignment="1">
      <alignment horizontal="center"/>
    </xf>
    <xf numFmtId="0" fontId="2" fillId="0" borderId="286" xfId="0" applyFont="1" applyBorder="1" applyAlignment="1">
      <alignment horizontal="center"/>
    </xf>
    <xf numFmtId="0" fontId="9" fillId="0" borderId="224" xfId="0" applyFont="1" applyBorder="1" applyAlignment="1">
      <alignment horizontal="center" vertical="center" wrapText="1"/>
    </xf>
    <xf numFmtId="0" fontId="9" fillId="0" borderId="287" xfId="0" applyFont="1" applyBorder="1" applyAlignment="1">
      <alignment horizontal="center" vertical="center" wrapText="1"/>
    </xf>
    <xf numFmtId="0" fontId="9" fillId="0" borderId="306" xfId="0" applyFont="1" applyBorder="1" applyAlignment="1">
      <alignment horizontal="center" vertical="center" wrapText="1"/>
    </xf>
    <xf numFmtId="0" fontId="2" fillId="0" borderId="295" xfId="0" applyFont="1" applyBorder="1" applyAlignment="1">
      <alignment horizontal="center"/>
    </xf>
    <xf numFmtId="164" fontId="2" fillId="0" borderId="304" xfId="0" applyNumberFormat="1" applyFont="1" applyBorder="1" applyAlignment="1">
      <alignment horizontal="center"/>
    </xf>
    <xf numFmtId="0" fontId="5" fillId="8" borderId="48" xfId="0" applyFont="1" applyFill="1" applyBorder="1" applyAlignment="1">
      <alignment horizontal="center" vertical="center"/>
    </xf>
    <xf numFmtId="0" fontId="1" fillId="0" borderId="105" xfId="0" applyFont="1" applyBorder="1"/>
    <xf numFmtId="0" fontId="5" fillId="0" borderId="268" xfId="0" applyFont="1" applyBorder="1"/>
    <xf numFmtId="0" fontId="5" fillId="0" borderId="268" xfId="0" applyFont="1" applyBorder="1" applyAlignment="1">
      <alignment wrapText="1"/>
    </xf>
    <xf numFmtId="0" fontId="5" fillId="0" borderId="260" xfId="0" applyFont="1" applyBorder="1"/>
    <xf numFmtId="0" fontId="4" fillId="0" borderId="0" xfId="3" applyFont="1" applyAlignment="1">
      <alignment horizontal="center" vertical="center"/>
    </xf>
    <xf numFmtId="0" fontId="1" fillId="0" borderId="0" xfId="3"/>
    <xf numFmtId="0" fontId="35" fillId="0" borderId="0" xfId="3" applyFont="1" applyAlignment="1">
      <alignment horizontal="center" vertical="center"/>
    </xf>
    <xf numFmtId="0" fontId="3" fillId="19" borderId="7" xfId="3" applyFont="1" applyFill="1" applyBorder="1" applyAlignment="1">
      <alignment horizontal="center" vertical="center"/>
    </xf>
    <xf numFmtId="0" fontId="3" fillId="0" borderId="0" xfId="3" applyFont="1"/>
    <xf numFmtId="0" fontId="3" fillId="19" borderId="282" xfId="3" applyFont="1" applyFill="1" applyBorder="1" applyAlignment="1">
      <alignment horizontal="center" vertical="center"/>
    </xf>
    <xf numFmtId="0" fontId="3" fillId="19" borderId="282" xfId="3" applyFont="1" applyFill="1" applyBorder="1" applyAlignment="1">
      <alignment horizontal="center" vertical="center"/>
    </xf>
    <xf numFmtId="0" fontId="1" fillId="20" borderId="28" xfId="3" applyFill="1" applyBorder="1" applyAlignment="1">
      <alignment horizontal="center" vertical="center" textRotation="90" wrapText="1"/>
    </xf>
    <xf numFmtId="0" fontId="1" fillId="20" borderId="46" xfId="3" applyFill="1" applyBorder="1" applyAlignment="1">
      <alignment horizontal="center" vertical="center"/>
    </xf>
    <xf numFmtId="3" fontId="1" fillId="20" borderId="46" xfId="3" applyNumberFormat="1" applyFill="1" applyBorder="1" applyAlignment="1">
      <alignment horizontal="center" vertical="center"/>
    </xf>
    <xf numFmtId="0" fontId="1" fillId="20" borderId="71" xfId="3" applyFill="1" applyBorder="1" applyAlignment="1">
      <alignment horizontal="center" vertical="center" textRotation="90" wrapText="1"/>
    </xf>
    <xf numFmtId="0" fontId="1" fillId="20" borderId="7" xfId="3" applyFill="1" applyBorder="1" applyAlignment="1">
      <alignment horizontal="center" vertical="center"/>
    </xf>
    <xf numFmtId="3" fontId="1" fillId="20" borderId="7" xfId="3" applyNumberFormat="1" applyFill="1" applyBorder="1" applyAlignment="1">
      <alignment horizontal="center" vertical="center"/>
    </xf>
    <xf numFmtId="0" fontId="1" fillId="20" borderId="46" xfId="3" applyFill="1" applyBorder="1" applyAlignment="1">
      <alignment horizontal="center" vertical="center" textRotation="90" wrapText="1"/>
    </xf>
    <xf numFmtId="0" fontId="1" fillId="19" borderId="226" xfId="3" applyFill="1" applyBorder="1" applyAlignment="1">
      <alignment horizontal="center" vertical="center" textRotation="90"/>
    </xf>
    <xf numFmtId="0" fontId="1" fillId="19" borderId="7" xfId="3" applyFill="1" applyBorder="1" applyAlignment="1">
      <alignment horizontal="center" vertical="center"/>
    </xf>
    <xf numFmtId="0" fontId="9" fillId="19" borderId="7" xfId="3" applyFont="1" applyFill="1" applyBorder="1" applyAlignment="1">
      <alignment horizontal="center" vertical="center"/>
    </xf>
    <xf numFmtId="164" fontId="9" fillId="19" borderId="7" xfId="3" applyNumberFormat="1" applyFont="1" applyFill="1" applyBorder="1" applyAlignment="1">
      <alignment horizontal="center" vertical="center"/>
    </xf>
    <xf numFmtId="0" fontId="1" fillId="19" borderId="71" xfId="3" applyFill="1" applyBorder="1" applyAlignment="1">
      <alignment horizontal="center" vertical="center" textRotation="90"/>
    </xf>
    <xf numFmtId="0" fontId="9" fillId="19" borderId="226" xfId="3" applyFont="1" applyFill="1" applyBorder="1" applyAlignment="1">
      <alignment horizontal="center" vertical="center"/>
    </xf>
    <xf numFmtId="164" fontId="9" fillId="19" borderId="226" xfId="3" applyNumberFormat="1" applyFont="1" applyFill="1" applyBorder="1" applyAlignment="1">
      <alignment horizontal="center" vertical="center"/>
    </xf>
    <xf numFmtId="0" fontId="1" fillId="19" borderId="46" xfId="3" applyFill="1" applyBorder="1" applyAlignment="1">
      <alignment horizontal="center" vertical="center"/>
    </xf>
    <xf numFmtId="0" fontId="1" fillId="19" borderId="46" xfId="3" applyFill="1" applyBorder="1" applyAlignment="1">
      <alignment horizontal="center" vertical="center" textRotation="90"/>
    </xf>
    <xf numFmtId="0" fontId="9" fillId="20" borderId="7" xfId="3" applyFont="1" applyFill="1" applyBorder="1" applyAlignment="1">
      <alignment horizontal="center" vertical="center"/>
    </xf>
    <xf numFmtId="164" fontId="9" fillId="20" borderId="7" xfId="3" applyNumberFormat="1" applyFont="1" applyFill="1" applyBorder="1" applyAlignment="1">
      <alignment horizontal="center" vertical="center"/>
    </xf>
    <xf numFmtId="0" fontId="1" fillId="21" borderId="226" xfId="3" applyFill="1" applyBorder="1" applyAlignment="1">
      <alignment horizontal="center" vertical="center" textRotation="90"/>
    </xf>
    <xf numFmtId="0" fontId="1" fillId="21" borderId="71" xfId="3" applyFill="1" applyBorder="1" applyAlignment="1">
      <alignment horizontal="center" vertical="center" textRotation="90"/>
    </xf>
    <xf numFmtId="0" fontId="1" fillId="19" borderId="7" xfId="3" applyFill="1" applyBorder="1" applyAlignment="1">
      <alignment horizontal="center" vertical="center" wrapText="1"/>
    </xf>
    <xf numFmtId="0" fontId="1" fillId="21" borderId="46" xfId="3" applyFill="1" applyBorder="1" applyAlignment="1">
      <alignment horizontal="center" vertical="center" textRotation="90"/>
    </xf>
    <xf numFmtId="0" fontId="1" fillId="8" borderId="226" xfId="3" applyFill="1" applyBorder="1" applyAlignment="1">
      <alignment horizontal="center" vertical="center" textRotation="90"/>
    </xf>
    <xf numFmtId="0" fontId="1" fillId="0" borderId="7" xfId="3" applyBorder="1" applyAlignment="1">
      <alignment horizontal="center" vertical="center"/>
    </xf>
    <xf numFmtId="0" fontId="9" fillId="0" borderId="7" xfId="3" applyFont="1" applyBorder="1" applyAlignment="1">
      <alignment horizontal="center" vertical="center"/>
    </xf>
    <xf numFmtId="164" fontId="9" fillId="0" borderId="7" xfId="3" applyNumberFormat="1" applyFont="1" applyBorder="1" applyAlignment="1">
      <alignment horizontal="center" vertical="center"/>
    </xf>
    <xf numFmtId="0" fontId="1" fillId="0" borderId="46" xfId="3" applyBorder="1" applyAlignment="1">
      <alignment horizontal="center" vertical="center"/>
    </xf>
    <xf numFmtId="0" fontId="1" fillId="8" borderId="71" xfId="3" applyFill="1" applyBorder="1" applyAlignment="1">
      <alignment horizontal="center" vertical="center" textRotation="90"/>
    </xf>
    <xf numFmtId="0" fontId="1" fillId="0" borderId="7" xfId="3" applyBorder="1" applyAlignment="1">
      <alignment horizontal="center" vertical="center" wrapText="1"/>
    </xf>
    <xf numFmtId="0" fontId="9" fillId="0" borderId="226" xfId="3" applyFont="1" applyBorder="1" applyAlignment="1">
      <alignment horizontal="center" vertical="center"/>
    </xf>
    <xf numFmtId="164" fontId="9" fillId="0" borderId="226" xfId="3" applyNumberFormat="1" applyFont="1" applyBorder="1" applyAlignment="1">
      <alignment horizontal="center" vertical="center"/>
    </xf>
    <xf numFmtId="0" fontId="1" fillId="8" borderId="46" xfId="3" applyFill="1" applyBorder="1" applyAlignment="1">
      <alignment horizontal="center" vertical="center" textRotation="90"/>
    </xf>
    <xf numFmtId="0" fontId="1" fillId="22" borderId="226" xfId="3" applyFill="1" applyBorder="1" applyAlignment="1">
      <alignment horizontal="center" vertical="center" textRotation="90"/>
    </xf>
    <xf numFmtId="0" fontId="1" fillId="22" borderId="7" xfId="3" applyFill="1" applyBorder="1" applyAlignment="1">
      <alignment horizontal="center" vertical="center"/>
    </xf>
    <xf numFmtId="0" fontId="9" fillId="22" borderId="7" xfId="3" applyFont="1" applyFill="1" applyBorder="1" applyAlignment="1">
      <alignment horizontal="center" vertical="center"/>
    </xf>
    <xf numFmtId="164" fontId="9" fillId="22" borderId="7" xfId="3" applyNumberFormat="1" applyFont="1" applyFill="1" applyBorder="1" applyAlignment="1">
      <alignment horizontal="center" vertical="center"/>
    </xf>
    <xf numFmtId="0" fontId="1" fillId="22" borderId="46" xfId="3" applyFill="1" applyBorder="1" applyAlignment="1">
      <alignment horizontal="center" vertical="center"/>
    </xf>
    <xf numFmtId="0" fontId="1" fillId="22" borderId="71" xfId="3" applyFill="1" applyBorder="1" applyAlignment="1">
      <alignment horizontal="center" vertical="center" textRotation="90"/>
    </xf>
    <xf numFmtId="0" fontId="1" fillId="22" borderId="7" xfId="3" applyFill="1" applyBorder="1" applyAlignment="1">
      <alignment horizontal="center" vertical="center" wrapText="1"/>
    </xf>
    <xf numFmtId="0" fontId="9" fillId="22" borderId="226" xfId="3" applyFont="1" applyFill="1" applyBorder="1" applyAlignment="1">
      <alignment horizontal="center" vertical="center"/>
    </xf>
    <xf numFmtId="164" fontId="9" fillId="22" borderId="226" xfId="3" applyNumberFormat="1" applyFont="1" applyFill="1" applyBorder="1" applyAlignment="1">
      <alignment horizontal="center" vertical="center"/>
    </xf>
    <xf numFmtId="0" fontId="1" fillId="22" borderId="46" xfId="3" applyFill="1" applyBorder="1" applyAlignment="1">
      <alignment horizontal="center" vertical="center" textRotation="90"/>
    </xf>
    <xf numFmtId="0" fontId="1" fillId="23" borderId="226" xfId="3" applyFill="1" applyBorder="1" applyAlignment="1">
      <alignment horizontal="center" vertical="center" textRotation="90"/>
    </xf>
    <xf numFmtId="0" fontId="1" fillId="23" borderId="7" xfId="3" applyFill="1" applyBorder="1" applyAlignment="1">
      <alignment horizontal="center" vertical="center"/>
    </xf>
    <xf numFmtId="0" fontId="9" fillId="23" borderId="226" xfId="3" applyFont="1" applyFill="1" applyBorder="1" applyAlignment="1">
      <alignment horizontal="center" vertical="center"/>
    </xf>
    <xf numFmtId="164" fontId="9" fillId="23" borderId="226" xfId="3" applyNumberFormat="1" applyFont="1" applyFill="1" applyBorder="1" applyAlignment="1">
      <alignment horizontal="center" vertical="center"/>
    </xf>
    <xf numFmtId="0" fontId="1" fillId="23" borderId="71" xfId="3" applyFill="1" applyBorder="1" applyAlignment="1">
      <alignment horizontal="center" vertical="center" textRotation="90"/>
    </xf>
    <xf numFmtId="0" fontId="1" fillId="23" borderId="7" xfId="3" applyFill="1" applyBorder="1" applyAlignment="1">
      <alignment horizontal="center" vertical="center" wrapText="1"/>
    </xf>
    <xf numFmtId="0" fontId="9" fillId="23" borderId="7" xfId="3" applyFont="1" applyFill="1" applyBorder="1" applyAlignment="1">
      <alignment horizontal="center" vertical="center"/>
    </xf>
    <xf numFmtId="164" fontId="9" fillId="23" borderId="7" xfId="3" applyNumberFormat="1" applyFont="1" applyFill="1" applyBorder="1" applyAlignment="1">
      <alignment horizontal="center" vertical="center"/>
    </xf>
    <xf numFmtId="0" fontId="1" fillId="23" borderId="46" xfId="3" applyFill="1" applyBorder="1" applyAlignment="1">
      <alignment horizontal="center" vertical="center" textRotation="90"/>
    </xf>
    <xf numFmtId="0" fontId="1" fillId="24" borderId="225" xfId="3" applyFill="1" applyBorder="1" applyAlignment="1">
      <alignment horizontal="center" vertical="center" textRotation="90"/>
    </xf>
    <xf numFmtId="0" fontId="1" fillId="24" borderId="7" xfId="3" applyFill="1" applyBorder="1" applyAlignment="1">
      <alignment horizontal="center" vertical="center"/>
    </xf>
    <xf numFmtId="0" fontId="9" fillId="24" borderId="7" xfId="3" applyFont="1" applyFill="1" applyBorder="1" applyAlignment="1">
      <alignment horizontal="center" vertical="center"/>
    </xf>
    <xf numFmtId="164" fontId="9" fillId="24" borderId="7" xfId="3" applyNumberFormat="1" applyFont="1" applyFill="1" applyBorder="1" applyAlignment="1">
      <alignment horizontal="center" vertical="center"/>
    </xf>
    <xf numFmtId="0" fontId="1" fillId="24" borderId="95" xfId="3" applyFill="1" applyBorder="1" applyAlignment="1">
      <alignment horizontal="center" vertical="center" textRotation="90"/>
    </xf>
    <xf numFmtId="0" fontId="9" fillId="24" borderId="226" xfId="3" applyFont="1" applyFill="1" applyBorder="1" applyAlignment="1">
      <alignment horizontal="center" vertical="center"/>
    </xf>
    <xf numFmtId="164" fontId="9" fillId="24" borderId="226" xfId="3" applyNumberFormat="1" applyFont="1" applyFill="1" applyBorder="1" applyAlignment="1">
      <alignment horizontal="center" vertical="center"/>
    </xf>
    <xf numFmtId="0" fontId="1" fillId="24" borderId="7" xfId="3" applyFill="1" applyBorder="1" applyAlignment="1">
      <alignment horizontal="center" vertical="center" wrapText="1"/>
    </xf>
    <xf numFmtId="0" fontId="1" fillId="24" borderId="48" xfId="3" applyFill="1" applyBorder="1" applyAlignment="1">
      <alignment horizontal="center" vertical="center" textRotation="90"/>
    </xf>
    <xf numFmtId="0" fontId="1" fillId="25" borderId="225" xfId="3" applyFill="1" applyBorder="1" applyAlignment="1">
      <alignment horizontal="center" vertical="center" textRotation="90"/>
    </xf>
    <xf numFmtId="0" fontId="1" fillId="25" borderId="7" xfId="3" applyFill="1" applyBorder="1" applyAlignment="1">
      <alignment horizontal="center" vertical="center"/>
    </xf>
    <xf numFmtId="0" fontId="9" fillId="25" borderId="46" xfId="3" applyFont="1" applyFill="1" applyBorder="1" applyAlignment="1">
      <alignment horizontal="center" vertical="center"/>
    </xf>
    <xf numFmtId="164" fontId="9" fillId="25" borderId="46" xfId="3" applyNumberFormat="1" applyFont="1" applyFill="1" applyBorder="1" applyAlignment="1">
      <alignment horizontal="center" vertical="center"/>
    </xf>
    <xf numFmtId="0" fontId="1" fillId="25" borderId="95" xfId="3" applyFill="1" applyBorder="1" applyAlignment="1">
      <alignment horizontal="center" vertical="center" textRotation="90"/>
    </xf>
    <xf numFmtId="0" fontId="9" fillId="25" borderId="7" xfId="3" applyFont="1" applyFill="1" applyBorder="1" applyAlignment="1">
      <alignment horizontal="center" vertical="center"/>
    </xf>
    <xf numFmtId="164" fontId="9" fillId="25" borderId="7" xfId="3" applyNumberFormat="1" applyFont="1" applyFill="1" applyBorder="1" applyAlignment="1">
      <alignment horizontal="center" vertical="center"/>
    </xf>
    <xf numFmtId="0" fontId="1" fillId="25" borderId="0" xfId="3" applyFill="1" applyAlignment="1">
      <alignment horizontal="center" vertical="center"/>
    </xf>
    <xf numFmtId="0" fontId="1" fillId="25" borderId="226" xfId="3" applyFill="1" applyBorder="1" applyAlignment="1">
      <alignment horizontal="center" vertical="center"/>
    </xf>
    <xf numFmtId="0" fontId="1" fillId="25" borderId="7" xfId="3" applyFill="1" applyBorder="1" applyAlignment="1">
      <alignment horizontal="center" vertical="center" wrapText="1"/>
    </xf>
    <xf numFmtId="0" fontId="1" fillId="26" borderId="225" xfId="3" applyFill="1" applyBorder="1" applyAlignment="1">
      <alignment horizontal="center" vertical="center" textRotation="90"/>
    </xf>
    <xf numFmtId="0" fontId="1" fillId="26" borderId="7" xfId="3" applyFill="1" applyBorder="1" applyAlignment="1">
      <alignment horizontal="center" vertical="center"/>
    </xf>
    <xf numFmtId="0" fontId="9" fillId="26" borderId="7" xfId="3" applyFont="1" applyFill="1" applyBorder="1" applyAlignment="1">
      <alignment horizontal="center" vertical="center"/>
    </xf>
    <xf numFmtId="164" fontId="9" fillId="26" borderId="7" xfId="3" applyNumberFormat="1" applyFont="1" applyFill="1" applyBorder="1" applyAlignment="1">
      <alignment horizontal="center" vertical="center"/>
    </xf>
    <xf numFmtId="0" fontId="1" fillId="26" borderId="95" xfId="3" applyFill="1" applyBorder="1" applyAlignment="1">
      <alignment horizontal="center" vertical="center" textRotation="90"/>
    </xf>
    <xf numFmtId="0" fontId="1" fillId="26" borderId="7" xfId="3" applyFill="1" applyBorder="1" applyAlignment="1">
      <alignment horizontal="center" vertical="center" wrapText="1"/>
    </xf>
    <xf numFmtId="0" fontId="1" fillId="26" borderId="71" xfId="3" applyFill="1" applyBorder="1" applyAlignment="1">
      <alignment horizontal="center" vertical="center"/>
    </xf>
    <xf numFmtId="0" fontId="1" fillId="26" borderId="226" xfId="3" applyFill="1" applyBorder="1" applyAlignment="1">
      <alignment horizontal="center" vertical="center"/>
    </xf>
    <xf numFmtId="0" fontId="1" fillId="26" borderId="7" xfId="3" quotePrefix="1" applyFill="1" applyBorder="1" applyAlignment="1">
      <alignment horizontal="center" vertical="center"/>
    </xf>
    <xf numFmtId="0" fontId="1" fillId="26" borderId="48" xfId="3" applyFill="1" applyBorder="1" applyAlignment="1">
      <alignment horizontal="center" vertical="center" textRotation="90"/>
    </xf>
    <xf numFmtId="0" fontId="1" fillId="27" borderId="225" xfId="3" applyFill="1" applyBorder="1" applyAlignment="1">
      <alignment horizontal="center" vertical="center" textRotation="90"/>
    </xf>
    <xf numFmtId="0" fontId="1" fillId="27" borderId="7" xfId="3" applyFill="1" applyBorder="1" applyAlignment="1">
      <alignment horizontal="center" vertical="center"/>
    </xf>
    <xf numFmtId="0" fontId="9" fillId="27" borderId="7" xfId="3" applyFont="1" applyFill="1" applyBorder="1" applyAlignment="1">
      <alignment horizontal="center" vertical="center"/>
    </xf>
    <xf numFmtId="164" fontId="9" fillId="27" borderId="7" xfId="3" applyNumberFormat="1" applyFont="1" applyFill="1" applyBorder="1" applyAlignment="1">
      <alignment horizontal="center" vertical="center"/>
    </xf>
    <xf numFmtId="0" fontId="1" fillId="27" borderId="0" xfId="3" applyFill="1" applyAlignment="1">
      <alignment horizontal="center" vertical="center"/>
    </xf>
    <xf numFmtId="0" fontId="1" fillId="27" borderId="31" xfId="3" applyFill="1" applyBorder="1" applyAlignment="1">
      <alignment horizontal="center" vertical="center"/>
    </xf>
    <xf numFmtId="0" fontId="1" fillId="27" borderId="7" xfId="3" applyFill="1" applyBorder="1" applyAlignment="1">
      <alignment horizontal="center" vertical="center" wrapText="1"/>
    </xf>
    <xf numFmtId="0" fontId="1" fillId="27" borderId="95" xfId="3" applyFill="1" applyBorder="1" applyAlignment="1">
      <alignment horizontal="center" vertical="center" textRotation="90"/>
    </xf>
    <xf numFmtId="0" fontId="1" fillId="27" borderId="226" xfId="3" applyFill="1" applyBorder="1" applyAlignment="1">
      <alignment horizontal="center" vertical="center"/>
    </xf>
    <xf numFmtId="0" fontId="1" fillId="27" borderId="71" xfId="3" applyFill="1" applyBorder="1" applyAlignment="1">
      <alignment horizontal="center" vertical="center"/>
    </xf>
    <xf numFmtId="0" fontId="1" fillId="27" borderId="31" xfId="3" quotePrefix="1" applyFill="1" applyBorder="1" applyAlignment="1">
      <alignment horizontal="center" vertical="center"/>
    </xf>
    <xf numFmtId="0" fontId="1" fillId="27" borderId="48" xfId="3" applyFill="1" applyBorder="1" applyAlignment="1">
      <alignment horizontal="center" vertical="center" textRotation="90"/>
    </xf>
    <xf numFmtId="0" fontId="1" fillId="9" borderId="225" xfId="3" applyFill="1" applyBorder="1" applyAlignment="1">
      <alignment horizontal="center" vertical="center" textRotation="90"/>
    </xf>
    <xf numFmtId="0" fontId="1" fillId="9" borderId="7" xfId="3" applyFill="1" applyBorder="1" applyAlignment="1">
      <alignment horizontal="center" vertical="center"/>
    </xf>
    <xf numFmtId="0" fontId="9" fillId="9" borderId="7" xfId="3" applyFont="1" applyFill="1" applyBorder="1" applyAlignment="1">
      <alignment horizontal="center" vertical="center"/>
    </xf>
    <xf numFmtId="164" fontId="9" fillId="9" borderId="7" xfId="3" applyNumberFormat="1" applyFont="1" applyFill="1" applyBorder="1" applyAlignment="1">
      <alignment horizontal="center" vertical="center"/>
    </xf>
    <xf numFmtId="0" fontId="1" fillId="9" borderId="31" xfId="3" applyFill="1" applyBorder="1" applyAlignment="1">
      <alignment horizontal="center" vertical="center"/>
    </xf>
    <xf numFmtId="0" fontId="1" fillId="9" borderId="95" xfId="3" applyFill="1" applyBorder="1" applyAlignment="1">
      <alignment horizontal="center" vertical="center" textRotation="90"/>
    </xf>
    <xf numFmtId="0" fontId="9" fillId="9" borderId="226" xfId="3" applyFont="1" applyFill="1" applyBorder="1" applyAlignment="1">
      <alignment horizontal="center" vertical="center"/>
    </xf>
    <xf numFmtId="164" fontId="9" fillId="9" borderId="226" xfId="3" applyNumberFormat="1" applyFont="1" applyFill="1" applyBorder="1" applyAlignment="1">
      <alignment horizontal="center" vertical="center"/>
    </xf>
    <xf numFmtId="0" fontId="1" fillId="9" borderId="226" xfId="3" applyFill="1" applyBorder="1" applyAlignment="1">
      <alignment horizontal="center" vertical="center"/>
    </xf>
    <xf numFmtId="0" fontId="1" fillId="9" borderId="31" xfId="3" quotePrefix="1" applyFill="1" applyBorder="1" applyAlignment="1">
      <alignment horizontal="center" vertical="center"/>
    </xf>
    <xf numFmtId="0" fontId="1" fillId="9" borderId="7" xfId="3" applyFill="1" applyBorder="1" applyAlignment="1">
      <alignment horizontal="center" vertical="center" wrapText="1"/>
    </xf>
    <xf numFmtId="0" fontId="1" fillId="9" borderId="71" xfId="3" applyFill="1" applyBorder="1" applyAlignment="1">
      <alignment horizontal="center" vertical="center"/>
    </xf>
    <xf numFmtId="0" fontId="1" fillId="0" borderId="0" xfId="3" applyAlignment="1">
      <alignment horizontal="center" vertical="center"/>
    </xf>
    <xf numFmtId="0" fontId="36" fillId="0" borderId="0" xfId="3" applyFont="1" applyAlignment="1">
      <alignment horizontal="center" vertical="center"/>
    </xf>
    <xf numFmtId="17" fontId="37" fillId="0" borderId="0" xfId="3" applyNumberFormat="1" applyFont="1" applyAlignment="1">
      <alignment horizontal="center" vertical="center"/>
    </xf>
    <xf numFmtId="0" fontId="14" fillId="0" borderId="322" xfId="3" applyFont="1" applyBorder="1" applyAlignment="1">
      <alignment horizontal="center" vertical="center"/>
    </xf>
    <xf numFmtId="0" fontId="14" fillId="0" borderId="289" xfId="3" applyFont="1" applyBorder="1" applyAlignment="1">
      <alignment horizontal="center" vertical="center"/>
    </xf>
    <xf numFmtId="0" fontId="14" fillId="0" borderId="77" xfId="3" applyFont="1" applyBorder="1" applyAlignment="1">
      <alignment horizontal="center" vertical="center"/>
    </xf>
    <xf numFmtId="0" fontId="14" fillId="0" borderId="323" xfId="3" applyFont="1" applyBorder="1" applyAlignment="1">
      <alignment horizontal="center" vertical="center"/>
    </xf>
    <xf numFmtId="0" fontId="14" fillId="0" borderId="12" xfId="3" applyFont="1" applyBorder="1" applyAlignment="1">
      <alignment horizontal="center" vertical="center"/>
    </xf>
    <xf numFmtId="0" fontId="14" fillId="0" borderId="129" xfId="3" applyFont="1" applyBorder="1" applyAlignment="1">
      <alignment horizontal="center" vertical="center"/>
    </xf>
    <xf numFmtId="0" fontId="14" fillId="0" borderId="290" xfId="3" applyFont="1" applyBorder="1" applyAlignment="1">
      <alignment horizontal="center" vertical="center"/>
    </xf>
    <xf numFmtId="0" fontId="14" fillId="0" borderId="324" xfId="3" applyFont="1" applyBorder="1" applyAlignment="1">
      <alignment horizontal="center" vertical="center"/>
    </xf>
    <xf numFmtId="0" fontId="14" fillId="0" borderId="70" xfId="3" applyFont="1" applyBorder="1" applyAlignment="1">
      <alignment horizontal="center" vertical="center"/>
    </xf>
    <xf numFmtId="0" fontId="14" fillId="0" borderId="80" xfId="3" applyFont="1" applyBorder="1" applyAlignment="1">
      <alignment horizontal="center" vertical="center"/>
    </xf>
    <xf numFmtId="0" fontId="14" fillId="0" borderId="231" xfId="3" applyFont="1" applyBorder="1" applyAlignment="1">
      <alignment horizontal="center" vertical="center"/>
    </xf>
    <xf numFmtId="0" fontId="14" fillId="0" borderId="200" xfId="3" applyFont="1" applyBorder="1" applyAlignment="1">
      <alignment horizontal="center" vertical="center"/>
    </xf>
    <xf numFmtId="0" fontId="14" fillId="0" borderId="79" xfId="3" applyFont="1" applyBorder="1" applyAlignment="1">
      <alignment horizontal="center" vertical="center"/>
    </xf>
    <xf numFmtId="0" fontId="14" fillId="0" borderId="201" xfId="3" applyFont="1" applyBorder="1" applyAlignment="1">
      <alignment horizontal="center" vertical="center"/>
    </xf>
    <xf numFmtId="0" fontId="14" fillId="0" borderId="14" xfId="3" applyFont="1" applyBorder="1" applyAlignment="1">
      <alignment horizontal="center" vertical="center"/>
    </xf>
    <xf numFmtId="0" fontId="14" fillId="0" borderId="13" xfId="3" applyFont="1" applyBorder="1" applyAlignment="1">
      <alignment horizontal="center" vertical="center"/>
    </xf>
    <xf numFmtId="0" fontId="14" fillId="0" borderId="295" xfId="3" applyFont="1" applyBorder="1" applyAlignment="1">
      <alignment horizontal="center" vertical="center"/>
    </xf>
    <xf numFmtId="0" fontId="14" fillId="0" borderId="96" xfId="3" applyFont="1" applyBorder="1" applyAlignment="1">
      <alignment horizontal="center" vertical="center"/>
    </xf>
    <xf numFmtId="0" fontId="14" fillId="0" borderId="72" xfId="3" applyFont="1" applyBorder="1" applyAlignment="1">
      <alignment horizontal="center" vertical="center"/>
    </xf>
    <xf numFmtId="0" fontId="14" fillId="0" borderId="165" xfId="3" applyFont="1" applyBorder="1" applyAlignment="1">
      <alignment horizontal="center" vertical="center"/>
    </xf>
    <xf numFmtId="0" fontId="38" fillId="0" borderId="77" xfId="3" applyFont="1" applyBorder="1" applyAlignment="1">
      <alignment horizontal="center" vertical="center" textRotation="90"/>
    </xf>
    <xf numFmtId="0" fontId="1" fillId="0" borderId="53" xfId="3" applyBorder="1" applyAlignment="1">
      <alignment horizontal="center" vertical="center"/>
    </xf>
    <xf numFmtId="0" fontId="1" fillId="28" borderId="39" xfId="3" applyFill="1" applyBorder="1" applyAlignment="1">
      <alignment horizontal="center" vertical="center"/>
    </xf>
    <xf numFmtId="0" fontId="1" fillId="0" borderId="0" xfId="3" applyAlignment="1">
      <alignment horizontal="center" vertical="top" wrapText="1"/>
    </xf>
    <xf numFmtId="0" fontId="1" fillId="0" borderId="274" xfId="3" applyBorder="1" applyAlignment="1">
      <alignment horizontal="center" vertical="center"/>
    </xf>
    <xf numFmtId="0" fontId="1" fillId="22" borderId="257" xfId="3" applyFill="1" applyBorder="1" applyAlignment="1">
      <alignment horizontal="center" vertical="center"/>
    </xf>
    <xf numFmtId="0" fontId="1" fillId="0" borderId="257" xfId="3" applyBorder="1" applyAlignment="1">
      <alignment horizontal="center" vertical="center"/>
    </xf>
    <xf numFmtId="0" fontId="1" fillId="0" borderId="39" xfId="3" applyBorder="1" applyAlignment="1">
      <alignment horizontal="center" vertical="center"/>
    </xf>
    <xf numFmtId="0" fontId="1" fillId="22" borderId="39" xfId="3" applyFill="1" applyBorder="1" applyAlignment="1">
      <alignment horizontal="center" vertical="center"/>
    </xf>
    <xf numFmtId="0" fontId="1" fillId="0" borderId="43" xfId="3" applyBorder="1" applyAlignment="1">
      <alignment horizontal="center" vertical="center" wrapText="1"/>
    </xf>
    <xf numFmtId="0" fontId="1" fillId="0" borderId="325" xfId="3" applyBorder="1" applyAlignment="1">
      <alignment horizontal="center" vertical="center"/>
    </xf>
    <xf numFmtId="0" fontId="1" fillId="22" borderId="66" xfId="3" applyFill="1" applyBorder="1" applyAlignment="1">
      <alignment horizontal="center" vertical="center"/>
    </xf>
    <xf numFmtId="0" fontId="1" fillId="0" borderId="326" xfId="3" applyBorder="1" applyAlignment="1">
      <alignment horizontal="center" vertical="center"/>
    </xf>
    <xf numFmtId="0" fontId="1" fillId="0" borderId="288" xfId="3" applyBorder="1" applyAlignment="1">
      <alignment horizontal="center" vertical="center"/>
    </xf>
    <xf numFmtId="0" fontId="1" fillId="22" borderId="326" xfId="3" applyFill="1" applyBorder="1" applyAlignment="1">
      <alignment horizontal="center" vertical="center"/>
    </xf>
    <xf numFmtId="0" fontId="1" fillId="0" borderId="275" xfId="3" applyBorder="1" applyAlignment="1">
      <alignment horizontal="center" vertical="center"/>
    </xf>
    <xf numFmtId="0" fontId="38" fillId="0" borderId="78" xfId="3" applyFont="1" applyBorder="1" applyAlignment="1">
      <alignment horizontal="center" vertical="center" textRotation="90"/>
    </xf>
    <xf numFmtId="0" fontId="1" fillId="0" borderId="269" xfId="3" applyBorder="1" applyAlignment="1">
      <alignment horizontal="center" vertical="center"/>
    </xf>
    <xf numFmtId="0" fontId="1" fillId="23" borderId="258" xfId="3" applyFill="1" applyBorder="1" applyAlignment="1">
      <alignment horizontal="center" vertical="center"/>
    </xf>
    <xf numFmtId="0" fontId="1" fillId="0" borderId="258" xfId="3" applyBorder="1" applyAlignment="1">
      <alignment horizontal="center" vertical="center"/>
    </xf>
    <xf numFmtId="0" fontId="1" fillId="0" borderId="257" xfId="3" applyBorder="1" applyAlignment="1">
      <alignment horizontal="center" vertical="center"/>
    </xf>
    <xf numFmtId="0" fontId="1" fillId="22" borderId="257" xfId="3" applyFill="1" applyBorder="1" applyAlignment="1">
      <alignment horizontal="center" vertical="center"/>
    </xf>
    <xf numFmtId="0" fontId="1" fillId="0" borderId="275" xfId="3" applyBorder="1" applyAlignment="1">
      <alignment horizontal="center" vertical="center" wrapText="1"/>
    </xf>
    <xf numFmtId="0" fontId="1" fillId="27" borderId="327" xfId="3" applyFill="1" applyBorder="1" applyAlignment="1">
      <alignment horizontal="center" vertical="center"/>
    </xf>
    <xf numFmtId="0" fontId="1" fillId="22" borderId="258" xfId="3" applyFill="1" applyBorder="1" applyAlignment="1">
      <alignment horizontal="center" vertical="center"/>
    </xf>
    <xf numFmtId="0" fontId="1" fillId="0" borderId="286" xfId="3" applyBorder="1" applyAlignment="1">
      <alignment horizontal="center" vertical="center"/>
    </xf>
    <xf numFmtId="0" fontId="1" fillId="0" borderId="276" xfId="3" applyBorder="1" applyAlignment="1">
      <alignment horizontal="center" vertical="center"/>
    </xf>
    <xf numFmtId="0" fontId="1" fillId="0" borderId="274" xfId="3" applyBorder="1" applyAlignment="1">
      <alignment horizontal="center" vertical="center"/>
    </xf>
    <xf numFmtId="0" fontId="1" fillId="28" borderId="257" xfId="3" applyFill="1" applyBorder="1" applyAlignment="1">
      <alignment horizontal="center" vertical="center"/>
    </xf>
    <xf numFmtId="0" fontId="1" fillId="0" borderId="288" xfId="3" applyBorder="1" applyAlignment="1">
      <alignment horizontal="center" vertical="top" wrapText="1"/>
    </xf>
    <xf numFmtId="0" fontId="1" fillId="0" borderId="327" xfId="3" applyBorder="1" applyAlignment="1">
      <alignment horizontal="center" vertical="center"/>
    </xf>
    <xf numFmtId="0" fontId="1" fillId="22" borderId="327" xfId="3" applyFill="1" applyBorder="1" applyAlignment="1">
      <alignment horizontal="center" vertical="center"/>
    </xf>
    <xf numFmtId="0" fontId="1" fillId="0" borderId="306" xfId="3" applyBorder="1" applyAlignment="1">
      <alignment horizontal="center" vertical="center" wrapText="1"/>
    </xf>
    <xf numFmtId="0" fontId="1" fillId="0" borderId="321" xfId="3" applyBorder="1" applyAlignment="1">
      <alignment horizontal="center" vertical="center"/>
    </xf>
    <xf numFmtId="0" fontId="1" fillId="0" borderId="287" xfId="3" applyBorder="1" applyAlignment="1">
      <alignment horizontal="center" vertical="center" wrapText="1"/>
    </xf>
    <xf numFmtId="0" fontId="1" fillId="0" borderId="327" xfId="3" applyBorder="1" applyAlignment="1">
      <alignment horizontal="center" vertical="center" wrapText="1"/>
    </xf>
    <xf numFmtId="0" fontId="1" fillId="0" borderId="288" xfId="3" applyBorder="1" applyAlignment="1">
      <alignment horizontal="center" vertical="center" wrapText="1"/>
    </xf>
    <xf numFmtId="0" fontId="1" fillId="0" borderId="257" xfId="3" applyBorder="1" applyAlignment="1">
      <alignment horizontal="center" vertical="center" wrapText="1"/>
    </xf>
    <xf numFmtId="0" fontId="9" fillId="28" borderId="258" xfId="3" applyFont="1" applyFill="1" applyBorder="1" applyAlignment="1">
      <alignment horizontal="center" vertical="center"/>
    </xf>
    <xf numFmtId="0" fontId="1" fillId="28" borderId="327" xfId="3" applyFill="1" applyBorder="1" applyAlignment="1">
      <alignment horizontal="center" vertical="center"/>
    </xf>
    <xf numFmtId="0" fontId="1" fillId="0" borderId="287" xfId="3" applyBorder="1" applyAlignment="1">
      <alignment horizontal="center" vertical="top" wrapText="1"/>
    </xf>
    <xf numFmtId="0" fontId="1" fillId="23" borderId="327" xfId="3" applyFill="1" applyBorder="1" applyAlignment="1">
      <alignment horizontal="center" vertical="center"/>
    </xf>
    <xf numFmtId="0" fontId="1" fillId="23" borderId="39" xfId="3" applyFill="1" applyBorder="1" applyAlignment="1">
      <alignment horizontal="center" vertical="center"/>
    </xf>
    <xf numFmtId="0" fontId="1" fillId="23" borderId="257" xfId="3" applyFill="1" applyBorder="1" applyAlignment="1">
      <alignment horizontal="center" vertical="center"/>
    </xf>
    <xf numFmtId="0" fontId="1" fillId="29" borderId="258" xfId="3" applyFill="1" applyBorder="1" applyAlignment="1">
      <alignment horizontal="center" vertical="center"/>
    </xf>
    <xf numFmtId="0" fontId="1" fillId="22" borderId="39" xfId="3" applyFill="1" applyBorder="1" applyAlignment="1">
      <alignment horizontal="center" vertical="center"/>
    </xf>
    <xf numFmtId="0" fontId="1" fillId="30" borderId="257" xfId="3" applyFill="1" applyBorder="1" applyAlignment="1">
      <alignment horizontal="center" vertical="center"/>
    </xf>
    <xf numFmtId="0" fontId="1" fillId="26" borderId="327" xfId="3" applyFill="1" applyBorder="1" applyAlignment="1">
      <alignment horizontal="center" vertical="center"/>
    </xf>
    <xf numFmtId="0" fontId="1" fillId="26" borderId="39" xfId="3" applyFill="1" applyBorder="1" applyAlignment="1">
      <alignment horizontal="center" vertical="center"/>
    </xf>
    <xf numFmtId="0" fontId="1" fillId="0" borderId="39" xfId="3" applyBorder="1" applyAlignment="1">
      <alignment horizontal="center" vertical="center" wrapText="1"/>
    </xf>
    <xf numFmtId="0" fontId="1" fillId="26" borderId="257" xfId="3" applyFill="1" applyBorder="1" applyAlignment="1">
      <alignment horizontal="center" vertical="center"/>
    </xf>
    <xf numFmtId="0" fontId="1" fillId="28" borderId="39" xfId="3" applyFill="1" applyBorder="1" applyAlignment="1">
      <alignment horizontal="center" vertical="center"/>
    </xf>
    <xf numFmtId="0" fontId="1" fillId="0" borderId="0" xfId="3" applyAlignment="1">
      <alignment horizontal="center" vertical="center" wrapText="1"/>
    </xf>
    <xf numFmtId="0" fontId="38" fillId="0" borderId="79" xfId="3" applyFont="1" applyBorder="1" applyAlignment="1">
      <alignment horizontal="center" vertical="center" textRotation="90"/>
    </xf>
    <xf numFmtId="0" fontId="1" fillId="0" borderId="313" xfId="3" applyBorder="1" applyAlignment="1">
      <alignment horizontal="center" vertical="center"/>
    </xf>
    <xf numFmtId="0" fontId="1" fillId="22" borderId="259" xfId="3" applyFill="1" applyBorder="1" applyAlignment="1">
      <alignment horizontal="center" vertical="center"/>
    </xf>
    <xf numFmtId="0" fontId="1" fillId="0" borderId="300" xfId="3" applyBorder="1" applyAlignment="1">
      <alignment horizontal="center" vertical="center"/>
    </xf>
    <xf numFmtId="0" fontId="1" fillId="24" borderId="258" xfId="3" applyFill="1" applyBorder="1" applyAlignment="1">
      <alignment horizontal="center" vertical="center"/>
    </xf>
    <xf numFmtId="0" fontId="1" fillId="0" borderId="39" xfId="3" applyBorder="1" applyAlignment="1">
      <alignment horizontal="center" vertical="center"/>
    </xf>
    <xf numFmtId="0" fontId="1" fillId="0" borderId="204" xfId="3" applyBorder="1" applyAlignment="1">
      <alignment horizontal="center" vertical="center" wrapText="1"/>
    </xf>
    <xf numFmtId="0" fontId="1" fillId="0" borderId="205" xfId="3" applyBorder="1" applyAlignment="1">
      <alignment horizontal="center" vertical="center" wrapText="1"/>
    </xf>
    <xf numFmtId="0" fontId="1" fillId="30" borderId="327" xfId="3" applyFill="1" applyBorder="1" applyAlignment="1">
      <alignment horizontal="center" vertical="center"/>
    </xf>
    <xf numFmtId="0" fontId="1" fillId="30" borderId="169" xfId="3" applyFill="1" applyBorder="1" applyAlignment="1">
      <alignment horizontal="center" vertical="center"/>
    </xf>
    <xf numFmtId="0" fontId="1" fillId="0" borderId="259" xfId="3" applyBorder="1" applyAlignment="1">
      <alignment horizontal="center" vertical="center"/>
    </xf>
    <xf numFmtId="0" fontId="1" fillId="30" borderId="257" xfId="3" applyFill="1" applyBorder="1" applyAlignment="1">
      <alignment horizontal="center" vertical="center"/>
    </xf>
    <xf numFmtId="0" fontId="38" fillId="0" borderId="41" xfId="3" applyFont="1" applyBorder="1" applyAlignment="1">
      <alignment horizontal="center" vertical="center" textRotation="90"/>
    </xf>
    <xf numFmtId="0" fontId="1" fillId="0" borderId="1" xfId="3" applyBorder="1" applyAlignment="1">
      <alignment vertical="center" textRotation="90"/>
    </xf>
    <xf numFmtId="0" fontId="1" fillId="0" borderId="53" xfId="3" applyBorder="1" applyAlignment="1">
      <alignment horizontal="center" vertical="center"/>
    </xf>
    <xf numFmtId="0" fontId="1" fillId="0" borderId="327" xfId="3" applyBorder="1" applyAlignment="1">
      <alignment horizontal="center" vertical="center"/>
    </xf>
    <xf numFmtId="0" fontId="1" fillId="0" borderId="1" xfId="3" applyBorder="1"/>
    <xf numFmtId="0" fontId="38" fillId="0" borderId="0" xfId="3" applyFont="1" applyAlignment="1">
      <alignment vertical="center" textRotation="90"/>
    </xf>
    <xf numFmtId="0" fontId="39" fillId="0" borderId="129" xfId="3" applyFont="1" applyBorder="1" applyAlignment="1">
      <alignment horizontal="center" vertical="center"/>
    </xf>
    <xf numFmtId="0" fontId="39" fillId="0" borderId="52" xfId="3" applyFont="1" applyBorder="1" applyAlignment="1">
      <alignment horizontal="center" vertical="center"/>
    </xf>
    <xf numFmtId="0" fontId="23" fillId="0" borderId="129" xfId="3" applyFont="1" applyBorder="1" applyAlignment="1">
      <alignment horizontal="center" vertical="center"/>
    </xf>
    <xf numFmtId="0" fontId="23" fillId="0" borderId="12" xfId="3" applyFont="1" applyBorder="1" applyAlignment="1">
      <alignment horizontal="center" vertical="center"/>
    </xf>
    <xf numFmtId="0" fontId="23" fillId="0" borderId="52" xfId="3" applyFont="1" applyBorder="1" applyAlignment="1">
      <alignment horizontal="center" vertical="center"/>
    </xf>
    <xf numFmtId="0" fontId="39" fillId="0" borderId="40" xfId="3" applyFont="1" applyBorder="1" applyAlignment="1">
      <alignment horizontal="center" vertical="center"/>
    </xf>
    <xf numFmtId="0" fontId="39" fillId="0" borderId="37" xfId="3" applyFont="1" applyBorder="1" applyAlignment="1">
      <alignment horizontal="center" vertical="center"/>
    </xf>
    <xf numFmtId="0" fontId="23" fillId="0" borderId="13" xfId="3" applyFont="1" applyBorder="1" applyAlignment="1">
      <alignment horizontal="center" vertical="center"/>
    </xf>
    <xf numFmtId="0" fontId="23" fillId="0" borderId="14" xfId="3" applyFont="1" applyBorder="1" applyAlignment="1">
      <alignment horizontal="center" vertical="center"/>
    </xf>
    <xf numFmtId="0" fontId="23" fillId="0" borderId="15" xfId="3" applyFont="1" applyBorder="1" applyAlignment="1">
      <alignment horizontal="center" vertical="center"/>
    </xf>
    <xf numFmtId="0" fontId="20" fillId="0" borderId="40" xfId="3" applyFont="1" applyBorder="1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20" fillId="0" borderId="37" xfId="3" applyFont="1" applyBorder="1" applyAlignment="1">
      <alignment horizontal="center" vertical="center"/>
    </xf>
    <xf numFmtId="0" fontId="5" fillId="0" borderId="78" xfId="3" applyFont="1" applyBorder="1" applyAlignment="1">
      <alignment horizontal="center" vertical="center"/>
    </xf>
    <xf numFmtId="0" fontId="39" fillId="0" borderId="13" xfId="3" applyFont="1" applyBorder="1" applyAlignment="1">
      <alignment horizontal="center" vertical="center"/>
    </xf>
    <xf numFmtId="0" fontId="39" fillId="0" borderId="15" xfId="3" applyFont="1" applyBorder="1" applyAlignment="1">
      <alignment horizontal="center" vertical="center"/>
    </xf>
    <xf numFmtId="0" fontId="20" fillId="0" borderId="112" xfId="3" applyFont="1" applyBorder="1" applyAlignment="1">
      <alignment horizontal="center" vertical="center"/>
    </xf>
    <xf numFmtId="0" fontId="20" fillId="0" borderId="108" xfId="3" applyFont="1" applyBorder="1" applyAlignment="1">
      <alignment horizontal="center" vertical="center"/>
    </xf>
    <xf numFmtId="0" fontId="20" fillId="0" borderId="115" xfId="3" applyFont="1" applyBorder="1" applyAlignment="1">
      <alignment horizontal="center" vertical="center"/>
    </xf>
    <xf numFmtId="0" fontId="1" fillId="0" borderId="37" xfId="3" applyBorder="1"/>
    <xf numFmtId="0" fontId="5" fillId="0" borderId="0" xfId="3" applyFont="1" applyAlignment="1">
      <alignment horizontal="center" vertical="center"/>
    </xf>
    <xf numFmtId="0" fontId="5" fillId="0" borderId="37" xfId="3" applyFont="1" applyBorder="1" applyAlignment="1">
      <alignment horizontal="center" vertical="center"/>
    </xf>
    <xf numFmtId="0" fontId="40" fillId="0" borderId="172" xfId="3" applyFont="1" applyBorder="1" applyAlignment="1">
      <alignment horizontal="center" vertical="center"/>
    </xf>
    <xf numFmtId="0" fontId="40" fillId="0" borderId="181" xfId="3" applyFont="1" applyBorder="1" applyAlignment="1">
      <alignment horizontal="center" vertical="center"/>
    </xf>
    <xf numFmtId="0" fontId="40" fillId="0" borderId="173" xfId="3" applyFont="1" applyBorder="1" applyAlignment="1">
      <alignment horizontal="center" vertical="center"/>
    </xf>
    <xf numFmtId="0" fontId="5" fillId="0" borderId="79" xfId="3" applyFont="1" applyBorder="1" applyAlignment="1">
      <alignment horizontal="center" vertical="center"/>
    </xf>
    <xf numFmtId="0" fontId="1" fillId="0" borderId="12" xfId="3" applyBorder="1"/>
    <xf numFmtId="0" fontId="5" fillId="29" borderId="35" xfId="3" applyFont="1" applyFill="1" applyBorder="1" applyAlignment="1">
      <alignment horizontal="center" vertical="center"/>
    </xf>
    <xf numFmtId="0" fontId="1" fillId="29" borderId="8" xfId="3" applyFill="1" applyBorder="1" applyAlignment="1">
      <alignment horizontal="center"/>
    </xf>
    <xf numFmtId="0" fontId="1" fillId="29" borderId="33" xfId="3" applyFill="1" applyBorder="1" applyAlignment="1">
      <alignment horizontal="center"/>
    </xf>
    <xf numFmtId="0" fontId="1" fillId="29" borderId="35" xfId="3" applyFill="1" applyBorder="1" applyAlignment="1">
      <alignment horizontal="center" vertical="center"/>
    </xf>
    <xf numFmtId="0" fontId="1" fillId="23" borderId="229" xfId="3" applyFill="1" applyBorder="1" applyAlignment="1">
      <alignment horizontal="center" vertical="center"/>
    </xf>
    <xf numFmtId="0" fontId="1" fillId="23" borderId="198" xfId="3" applyFill="1" applyBorder="1" applyAlignment="1">
      <alignment horizontal="center"/>
    </xf>
    <xf numFmtId="0" fontId="1" fillId="23" borderId="48" xfId="3" applyFill="1" applyBorder="1" applyAlignment="1">
      <alignment horizontal="center"/>
    </xf>
    <xf numFmtId="0" fontId="1" fillId="23" borderId="154" xfId="3" applyFill="1" applyBorder="1" applyAlignment="1">
      <alignment horizontal="center"/>
    </xf>
    <xf numFmtId="0" fontId="1" fillId="23" borderId="142" xfId="3" applyFill="1" applyBorder="1" applyAlignment="1">
      <alignment horizontal="center"/>
    </xf>
    <xf numFmtId="0" fontId="1" fillId="23" borderId="328" xfId="3" applyFill="1" applyBorder="1" applyAlignment="1">
      <alignment horizontal="center" vertical="center"/>
    </xf>
    <xf numFmtId="0" fontId="14" fillId="0" borderId="78" xfId="3" applyFont="1" applyBorder="1" applyAlignment="1">
      <alignment horizontal="center" vertical="center"/>
    </xf>
    <xf numFmtId="0" fontId="1" fillId="22" borderId="228" xfId="3" applyFill="1" applyBorder="1" applyAlignment="1">
      <alignment horizontal="center" vertical="center"/>
    </xf>
    <xf numFmtId="0" fontId="1" fillId="22" borderId="199" xfId="3" applyFill="1" applyBorder="1" applyAlignment="1">
      <alignment horizontal="center" vertical="center"/>
    </xf>
    <xf numFmtId="0" fontId="1" fillId="22" borderId="31" xfId="3" applyFill="1" applyBorder="1" applyAlignment="1">
      <alignment horizontal="center" vertical="center"/>
    </xf>
    <xf numFmtId="0" fontId="1" fillId="22" borderId="162" xfId="3" applyFill="1" applyBorder="1" applyAlignment="1">
      <alignment horizontal="center" vertical="center"/>
    </xf>
    <xf numFmtId="0" fontId="1" fillId="22" borderId="140" xfId="3" applyFill="1" applyBorder="1" applyAlignment="1">
      <alignment horizontal="center" vertical="center"/>
    </xf>
    <xf numFmtId="0" fontId="41" fillId="22" borderId="241" xfId="3" applyFont="1" applyFill="1" applyBorder="1" applyAlignment="1">
      <alignment horizontal="center" vertical="center"/>
    </xf>
    <xf numFmtId="0" fontId="1" fillId="30" borderId="230" xfId="3" applyFill="1" applyBorder="1" applyAlignment="1">
      <alignment horizontal="center" vertical="center"/>
    </xf>
    <xf numFmtId="0" fontId="1" fillId="30" borderId="200" xfId="3" applyFill="1" applyBorder="1" applyAlignment="1">
      <alignment horizontal="center" vertical="center"/>
    </xf>
    <xf numFmtId="0" fontId="1" fillId="30" borderId="151" xfId="3" applyFill="1" applyBorder="1" applyAlignment="1">
      <alignment horizontal="center" vertical="center"/>
    </xf>
    <xf numFmtId="0" fontId="1" fillId="30" borderId="163" xfId="3" applyFill="1" applyBorder="1" applyAlignment="1">
      <alignment horizontal="center" vertical="center"/>
    </xf>
    <xf numFmtId="0" fontId="1" fillId="30" borderId="201" xfId="3" applyFill="1" applyBorder="1" applyAlignment="1">
      <alignment horizontal="center" vertical="center"/>
    </xf>
    <xf numFmtId="0" fontId="1" fillId="30" borderId="37" xfId="3" applyFill="1" applyBorder="1" applyAlignment="1">
      <alignment horizontal="center" vertical="center"/>
    </xf>
    <xf numFmtId="0" fontId="5" fillId="0" borderId="35" xfId="3" applyFont="1" applyBorder="1" applyAlignment="1">
      <alignment horizontal="center" vertical="center"/>
    </xf>
    <xf numFmtId="0" fontId="5" fillId="0" borderId="8" xfId="3" applyFont="1" applyBorder="1" applyAlignment="1">
      <alignment horizontal="center" vertical="center"/>
    </xf>
    <xf numFmtId="0" fontId="5" fillId="0" borderId="33" xfId="3" applyFont="1" applyBorder="1" applyAlignment="1">
      <alignment horizontal="center" vertical="center"/>
    </xf>
    <xf numFmtId="0" fontId="5" fillId="0" borderId="33" xfId="3" applyFont="1" applyBorder="1" applyAlignment="1">
      <alignment horizontal="center" vertical="center"/>
    </xf>
    <xf numFmtId="0" fontId="1" fillId="26" borderId="229" xfId="3" applyFill="1" applyBorder="1" applyAlignment="1">
      <alignment horizontal="center" vertical="center"/>
    </xf>
    <xf numFmtId="0" fontId="1" fillId="26" borderId="289" xfId="3" applyFill="1" applyBorder="1" applyAlignment="1">
      <alignment horizontal="center" vertical="center"/>
    </xf>
    <xf numFmtId="0" fontId="1" fillId="26" borderId="291" xfId="3" applyFill="1" applyBorder="1" applyAlignment="1">
      <alignment horizontal="center" vertical="center"/>
    </xf>
    <xf numFmtId="0" fontId="1" fillId="26" borderId="293" xfId="3" applyFill="1" applyBorder="1" applyAlignment="1">
      <alignment horizontal="center" vertical="center"/>
    </xf>
    <xf numFmtId="0" fontId="1" fillId="26" borderId="323" xfId="3" applyFill="1" applyBorder="1" applyAlignment="1">
      <alignment horizontal="center" vertical="center"/>
    </xf>
    <xf numFmtId="0" fontId="1" fillId="26" borderId="142" xfId="3" applyFill="1" applyBorder="1" applyAlignment="1">
      <alignment horizontal="center" vertical="center"/>
    </xf>
    <xf numFmtId="0" fontId="1" fillId="28" borderId="231" xfId="3" applyFill="1" applyBorder="1" applyAlignment="1">
      <alignment horizontal="center" vertical="center"/>
    </xf>
    <xf numFmtId="0" fontId="1" fillId="28" borderId="200" xfId="3" applyFill="1" applyBorder="1" applyAlignment="1">
      <alignment horizontal="center" vertical="center"/>
    </xf>
    <xf numFmtId="0" fontId="1" fillId="28" borderId="151" xfId="3" applyFill="1" applyBorder="1" applyAlignment="1">
      <alignment horizontal="center" vertical="center"/>
    </xf>
    <xf numFmtId="0" fontId="1" fillId="28" borderId="163" xfId="3" applyFill="1" applyBorder="1" applyAlignment="1">
      <alignment horizontal="center" vertical="center"/>
    </xf>
    <xf numFmtId="0" fontId="1" fillId="28" borderId="201" xfId="3" applyFill="1" applyBorder="1" applyAlignment="1">
      <alignment horizontal="center" vertical="center"/>
    </xf>
    <xf numFmtId="0" fontId="1" fillId="28" borderId="201" xfId="3" applyFill="1" applyBorder="1" applyAlignment="1">
      <alignment horizontal="center" vertical="center"/>
    </xf>
    <xf numFmtId="0" fontId="5" fillId="0" borderId="77" xfId="3" applyFont="1" applyBorder="1" applyAlignment="1">
      <alignment horizontal="center"/>
    </xf>
    <xf numFmtId="0" fontId="5" fillId="0" borderId="129" xfId="3" applyFont="1" applyBorder="1" applyAlignment="1">
      <alignment horizontal="center" vertical="center"/>
    </xf>
    <xf numFmtId="0" fontId="5" fillId="0" borderId="52" xfId="3" applyFont="1" applyBorder="1" applyAlignment="1">
      <alignment horizontal="center" vertical="center"/>
    </xf>
    <xf numFmtId="0" fontId="14" fillId="0" borderId="77" xfId="3" applyFont="1" applyBorder="1" applyAlignment="1">
      <alignment horizontal="center" vertical="center"/>
    </xf>
    <xf numFmtId="0" fontId="1" fillId="27" borderId="35" xfId="3" applyFill="1" applyBorder="1" applyAlignment="1">
      <alignment horizontal="center"/>
    </xf>
    <xf numFmtId="0" fontId="1" fillId="27" borderId="8" xfId="3" applyFill="1" applyBorder="1" applyAlignment="1">
      <alignment horizontal="center" vertical="center"/>
    </xf>
    <xf numFmtId="0" fontId="1" fillId="27" borderId="33" xfId="3" applyFill="1" applyBorder="1" applyAlignment="1">
      <alignment horizontal="center" vertical="center"/>
    </xf>
    <xf numFmtId="0" fontId="41" fillId="27" borderId="8" xfId="3" applyFont="1" applyFill="1" applyBorder="1" applyAlignment="1">
      <alignment horizontal="center" vertical="center"/>
    </xf>
    <xf numFmtId="0" fontId="41" fillId="27" borderId="33" xfId="3" applyFont="1" applyFill="1" applyBorder="1" applyAlignment="1">
      <alignment horizontal="center" vertical="center"/>
    </xf>
    <xf numFmtId="0" fontId="5" fillId="27" borderId="35" xfId="3" applyFont="1" applyFill="1" applyBorder="1" applyAlignment="1">
      <alignment horizontal="center" vertical="center"/>
    </xf>
    <xf numFmtId="0" fontId="14" fillId="0" borderId="35" xfId="3" applyFont="1" applyBorder="1" applyAlignment="1">
      <alignment horizontal="center" vertical="center"/>
    </xf>
    <xf numFmtId="0" fontId="1" fillId="24" borderId="79" xfId="3" applyFill="1" applyBorder="1" applyAlignment="1">
      <alignment horizontal="center"/>
    </xf>
    <xf numFmtId="0" fontId="41" fillId="24" borderId="8" xfId="3" applyFont="1" applyFill="1" applyBorder="1" applyAlignment="1">
      <alignment horizontal="center" vertical="center"/>
    </xf>
    <xf numFmtId="0" fontId="41" fillId="24" borderId="33" xfId="3" applyFont="1" applyFill="1" applyBorder="1" applyAlignment="1">
      <alignment horizontal="center" vertical="center"/>
    </xf>
    <xf numFmtId="0" fontId="5" fillId="24" borderId="35" xfId="3" applyFont="1" applyFill="1" applyBorder="1" applyAlignment="1">
      <alignment horizontal="center" vertical="center"/>
    </xf>
    <xf numFmtId="0" fontId="1" fillId="0" borderId="0" xfId="3" applyAlignment="1">
      <alignment wrapText="1"/>
    </xf>
    <xf numFmtId="0" fontId="5" fillId="0" borderId="13" xfId="3" applyFont="1" applyBorder="1" applyAlignment="1">
      <alignment horizontal="center" wrapText="1"/>
    </xf>
    <xf numFmtId="0" fontId="5" fillId="0" borderId="32" xfId="3" applyFont="1" applyBorder="1" applyAlignment="1">
      <alignment horizontal="center" wrapText="1"/>
    </xf>
    <xf numFmtId="0" fontId="5" fillId="0" borderId="33" xfId="3" applyFont="1" applyBorder="1" applyAlignment="1">
      <alignment horizont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/>
    <xf numFmtId="0" fontId="1" fillId="0" borderId="14" xfId="0" applyFont="1" applyBorder="1"/>
    <xf numFmtId="43" fontId="26" fillId="0" borderId="37" xfId="0" applyNumberFormat="1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</cellXfs>
  <cellStyles count="4">
    <cellStyle name="Comma" xfId="2" builtinId="3"/>
    <cellStyle name="Normal" xfId="0" builtinId="0"/>
    <cellStyle name="Normal 2" xfId="1" xr:uid="{C25546E3-CB68-4CE6-8E11-CFC21BD03A88}"/>
    <cellStyle name="Normal 3" xfId="3" xr:uid="{57879114-A9AA-494F-8B36-8ED6660B317B}"/>
  </cellStyles>
  <dxfs count="0"/>
  <tableStyles count="0" defaultTableStyle="TableStyleMedium2" defaultPivotStyle="PivotStyleLight16"/>
  <colors>
    <mruColors>
      <color rgb="FFFF9933"/>
      <color rgb="FF00FFFF"/>
      <color rgb="FF0000CC"/>
      <color rgb="FFFF00FF"/>
      <color rgb="FFFF9999"/>
      <color rgb="FFFF3300"/>
      <color rgb="FFB9A9F3"/>
      <color rgb="FFFFCCCC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195584</xdr:colOff>
      <xdr:row>7</xdr:row>
      <xdr:rowOff>152400</xdr:rowOff>
    </xdr:from>
    <xdr:to>
      <xdr:col>8</xdr:col>
      <xdr:colOff>0</xdr:colOff>
      <xdr:row>10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B3466F-9BE6-47B1-ABEC-60B19FDA4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7034" y="2076450"/>
          <a:ext cx="2890516" cy="590550"/>
        </a:xfrm>
        <a:prstGeom prst="rect">
          <a:avLst/>
        </a:prstGeom>
      </xdr:spPr>
    </xdr:pic>
    <xdr:clientData/>
  </xdr:twoCellAnchor>
  <xdr:oneCellAnchor>
    <xdr:from>
      <xdr:col>5</xdr:col>
      <xdr:colOff>186059</xdr:colOff>
      <xdr:row>20</xdr:row>
      <xdr:rowOff>161925</xdr:rowOff>
    </xdr:from>
    <xdr:ext cx="2890516" cy="590550"/>
    <xdr:pic>
      <xdr:nvPicPr>
        <xdr:cNvPr id="3" name="Picture 2">
          <a:extLst>
            <a:ext uri="{FF2B5EF4-FFF2-40B4-BE49-F238E27FC236}">
              <a16:creationId xmlns:a16="http://schemas.microsoft.com/office/drawing/2014/main" id="{7EEC3A3E-83B9-419F-94D0-8244A0F9CB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7509" y="6181725"/>
          <a:ext cx="2890516" cy="590550"/>
        </a:xfrm>
        <a:prstGeom prst="rect">
          <a:avLst/>
        </a:prstGeom>
      </xdr:spPr>
    </xdr:pic>
    <xdr:clientData/>
  </xdr:oneCellAnchor>
  <xdr:oneCellAnchor>
    <xdr:from>
      <xdr:col>5</xdr:col>
      <xdr:colOff>186059</xdr:colOff>
      <xdr:row>33</xdr:row>
      <xdr:rowOff>161925</xdr:rowOff>
    </xdr:from>
    <xdr:ext cx="2890516" cy="590550"/>
    <xdr:pic>
      <xdr:nvPicPr>
        <xdr:cNvPr id="4" name="Picture 3">
          <a:extLst>
            <a:ext uri="{FF2B5EF4-FFF2-40B4-BE49-F238E27FC236}">
              <a16:creationId xmlns:a16="http://schemas.microsoft.com/office/drawing/2014/main" id="{F2C45573-217B-472C-8843-7C8E6AF22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7509" y="5143500"/>
          <a:ext cx="2890516" cy="59055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857250</xdr:colOff>
      <xdr:row>20</xdr:row>
      <xdr:rowOff>0</xdr:rowOff>
    </xdr:from>
    <xdr:ext cx="2890516" cy="590550"/>
    <xdr:pic>
      <xdr:nvPicPr>
        <xdr:cNvPr id="2" name="Picture 1">
          <a:extLst>
            <a:ext uri="{FF2B5EF4-FFF2-40B4-BE49-F238E27FC236}">
              <a16:creationId xmlns:a16="http://schemas.microsoft.com/office/drawing/2014/main" id="{FCABF3E6-ED49-4565-9F1D-E088651CB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67325" y="3724275"/>
          <a:ext cx="2890516" cy="5905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PROJECTS\19401\08-Exports\2024.05.14%20-%20Latest%20SoA\Old%20Town%20-%20SoA.xlsx" TargetMode="External"/><Relationship Id="rId1" Type="http://schemas.openxmlformats.org/officeDocument/2006/relationships/externalLinkPath" Target="/PROJECTS/19401/08-Exports/2024.05.14%20-%20Latest%20SoA/Old%20Town%20-%20S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ot By Plot SoA"/>
      <sheetName val="Single &amp; Multi Family (Filtere)"/>
      <sheetName val="Block By Block SoA"/>
      <sheetName val="14 - Affordable A"/>
      <sheetName val="23 - Affordable B"/>
      <sheetName val="35 - Affordable C"/>
      <sheetName val="55 - Affordable D"/>
      <sheetName val="74 - Affordable E "/>
    </sheetNames>
    <sheetDataSet>
      <sheetData sheetId="0">
        <row r="323">
          <cell r="B323" t="str">
            <v>Retail 1</v>
          </cell>
        </row>
        <row r="324">
          <cell r="B324" t="str">
            <v>Retail 2</v>
          </cell>
        </row>
        <row r="325">
          <cell r="B325" t="str">
            <v>Retail 3</v>
          </cell>
        </row>
        <row r="326">
          <cell r="B326" t="str">
            <v>Retail 4</v>
          </cell>
        </row>
        <row r="327">
          <cell r="B327" t="str">
            <v>Retail 5</v>
          </cell>
        </row>
        <row r="328">
          <cell r="B328" t="str">
            <v>Concierge</v>
          </cell>
          <cell r="C328">
            <v>169.5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FD2A8-65F2-4BF8-9EA5-1665CDDDFB14}">
  <sheetPr>
    <pageSetUpPr fitToPage="1"/>
  </sheetPr>
  <dimension ref="A1:Y353"/>
  <sheetViews>
    <sheetView tabSelected="1" topLeftCell="A321" zoomScale="70" zoomScaleNormal="70" workbookViewId="0">
      <selection activeCell="P337" sqref="P337"/>
    </sheetView>
  </sheetViews>
  <sheetFormatPr defaultColWidth="8.85546875" defaultRowHeight="15" x14ac:dyDescent="0.35"/>
  <cols>
    <col min="1" max="1" width="11.7109375" style="290" customWidth="1"/>
    <col min="2" max="2" width="12.140625" style="290" bestFit="1" customWidth="1"/>
    <col min="3" max="3" width="18.42578125" style="290" bestFit="1" customWidth="1"/>
    <col min="4" max="4" width="14.7109375" style="290" customWidth="1"/>
    <col min="5" max="5" width="15.42578125" style="290" customWidth="1"/>
    <col min="6" max="6" width="15.7109375" style="290" customWidth="1"/>
    <col min="7" max="7" width="16.7109375" style="290" bestFit="1" customWidth="1"/>
    <col min="8" max="9" width="8.85546875" style="290"/>
    <col min="10" max="10" width="22.5703125" style="290" customWidth="1"/>
    <col min="11" max="11" width="17.140625" style="290" bestFit="1" customWidth="1"/>
    <col min="12" max="12" width="20.7109375" style="290" bestFit="1" customWidth="1"/>
    <col min="13" max="13" width="12.28515625" style="290" bestFit="1" customWidth="1"/>
    <col min="14" max="18" width="8.85546875" style="290"/>
    <col min="19" max="19" width="8.85546875" style="290" customWidth="1"/>
    <col min="20" max="20" width="12.7109375" style="290" bestFit="1" customWidth="1"/>
    <col min="21" max="21" width="14.140625" style="290" bestFit="1" customWidth="1"/>
    <col min="22" max="16384" width="8.85546875" style="290"/>
  </cols>
  <sheetData>
    <row r="1" spans="1:21" ht="23.45" customHeight="1" x14ac:dyDescent="0.35">
      <c r="A1" s="905" t="s">
        <v>357</v>
      </c>
      <c r="B1" s="906"/>
      <c r="C1" s="906"/>
      <c r="D1" s="906"/>
      <c r="E1" s="906"/>
      <c r="F1" s="906"/>
      <c r="G1" s="906"/>
      <c r="H1" s="906"/>
      <c r="I1" s="906"/>
      <c r="J1" s="906"/>
      <c r="K1" s="906"/>
      <c r="L1" s="907"/>
    </row>
    <row r="2" spans="1:21" ht="23.45" customHeight="1" x14ac:dyDescent="0.35">
      <c r="A2" s="855" t="s">
        <v>399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7"/>
      <c r="P2" s="789" t="s">
        <v>400</v>
      </c>
      <c r="Q2" s="789"/>
      <c r="R2" s="789"/>
      <c r="S2" s="789"/>
      <c r="T2" s="789"/>
      <c r="U2" s="789"/>
    </row>
    <row r="3" spans="1:21" ht="23.45" customHeight="1" x14ac:dyDescent="0.35">
      <c r="A3" s="855" t="s">
        <v>398</v>
      </c>
      <c r="B3" s="856"/>
      <c r="C3" s="856"/>
      <c r="D3" s="856"/>
      <c r="E3" s="856"/>
      <c r="F3" s="856"/>
      <c r="G3" s="856"/>
      <c r="H3" s="856"/>
      <c r="I3" s="856"/>
      <c r="J3" s="856"/>
      <c r="K3" s="856"/>
      <c r="L3" s="857"/>
      <c r="M3" s="664"/>
      <c r="P3" s="789"/>
      <c r="Q3" s="789"/>
      <c r="R3" s="789"/>
      <c r="S3" s="789"/>
      <c r="T3" s="789"/>
      <c r="U3" s="789"/>
    </row>
    <row r="4" spans="1:21" ht="18.600000000000001" customHeight="1" thickBot="1" x14ac:dyDescent="0.4">
      <c r="A4" s="928" t="s">
        <v>128</v>
      </c>
      <c r="B4" s="922" t="s">
        <v>0</v>
      </c>
      <c r="C4" s="930" t="s">
        <v>334</v>
      </c>
      <c r="D4" s="931"/>
      <c r="E4" s="922" t="s">
        <v>335</v>
      </c>
      <c r="F4" s="922"/>
      <c r="G4" s="922" t="s">
        <v>336</v>
      </c>
      <c r="H4" s="922" t="s">
        <v>337</v>
      </c>
      <c r="I4" s="908" t="s">
        <v>358</v>
      </c>
      <c r="J4" s="922" t="s">
        <v>338</v>
      </c>
      <c r="K4" s="912" t="s">
        <v>359</v>
      </c>
      <c r="L4" s="914" t="s">
        <v>339</v>
      </c>
      <c r="P4" s="790"/>
      <c r="Q4" s="790"/>
      <c r="R4" s="790"/>
      <c r="S4" s="790"/>
      <c r="T4" s="790"/>
      <c r="U4" s="790"/>
    </row>
    <row r="5" spans="1:21" ht="30.75" thickBot="1" x14ac:dyDescent="0.4">
      <c r="A5" s="929"/>
      <c r="B5" s="923"/>
      <c r="C5" s="694" t="s">
        <v>345</v>
      </c>
      <c r="D5" s="695" t="s">
        <v>367</v>
      </c>
      <c r="E5" s="694" t="s">
        <v>340</v>
      </c>
      <c r="F5" s="694" t="s">
        <v>341</v>
      </c>
      <c r="G5" s="923"/>
      <c r="H5" s="923"/>
      <c r="I5" s="908"/>
      <c r="J5" s="923"/>
      <c r="K5" s="913"/>
      <c r="L5" s="915"/>
      <c r="P5" s="792" t="s">
        <v>417</v>
      </c>
      <c r="Q5" s="793"/>
      <c r="R5" s="793"/>
      <c r="S5" s="793"/>
      <c r="T5" s="793"/>
      <c r="U5" s="794"/>
    </row>
    <row r="6" spans="1:21" ht="30.75" thickTop="1" x14ac:dyDescent="0.35">
      <c r="A6" s="924" t="s">
        <v>342</v>
      </c>
      <c r="B6" s="760">
        <v>1</v>
      </c>
      <c r="C6" s="760" t="s">
        <v>51</v>
      </c>
      <c r="D6" s="761" t="s">
        <v>364</v>
      </c>
      <c r="E6" s="760">
        <v>65</v>
      </c>
      <c r="F6" s="762">
        <f>SUM(E6*10.76)</f>
        <v>699.4</v>
      </c>
      <c r="G6" s="760" t="s">
        <v>347</v>
      </c>
      <c r="H6" s="763">
        <v>2</v>
      </c>
      <c r="I6" s="764" t="str">
        <f>IF('Plot By Plot SoA'!Q6=0,"-",'Plot By Plot SoA'!Q6)</f>
        <v>-</v>
      </c>
      <c r="J6" s="760" t="s">
        <v>362</v>
      </c>
      <c r="K6" s="765" t="str">
        <f>'Plot By Plot SoA'!K6</f>
        <v>Roof Terrace</v>
      </c>
      <c r="L6" s="766">
        <v>73</v>
      </c>
      <c r="P6" s="844"/>
      <c r="Q6" s="845"/>
      <c r="R6" s="845"/>
      <c r="S6" s="846"/>
      <c r="T6" s="672" t="s">
        <v>247</v>
      </c>
      <c r="U6" s="673" t="s">
        <v>246</v>
      </c>
    </row>
    <row r="7" spans="1:21" ht="30" x14ac:dyDescent="0.35">
      <c r="A7" s="909"/>
      <c r="B7" s="767">
        <v>2</v>
      </c>
      <c r="C7" s="767" t="s">
        <v>51</v>
      </c>
      <c r="D7" s="768" t="s">
        <v>364</v>
      </c>
      <c r="E7" s="767">
        <v>103</v>
      </c>
      <c r="F7" s="769">
        <f t="shared" ref="F7:F21" si="0">SUM(E7*10.76)</f>
        <v>1108.28</v>
      </c>
      <c r="G7" s="767" t="s">
        <v>348</v>
      </c>
      <c r="H7" s="770">
        <v>2</v>
      </c>
      <c r="I7" s="771" t="str">
        <f>IF('Plot By Plot SoA'!Q7=0,"-",'Plot By Plot SoA'!Q7)</f>
        <v>-</v>
      </c>
      <c r="J7" s="760" t="s">
        <v>362</v>
      </c>
      <c r="K7" s="771" t="str">
        <f>'Plot By Plot SoA'!K7</f>
        <v>Roof Terrace</v>
      </c>
      <c r="L7" s="772">
        <v>105</v>
      </c>
      <c r="P7" s="1335" t="s">
        <v>665</v>
      </c>
      <c r="Q7" s="1336"/>
      <c r="R7" s="1336"/>
      <c r="S7" s="1337"/>
      <c r="T7" s="1338">
        <f>SUM(E6:E322)</f>
        <v>22694.200000000077</v>
      </c>
      <c r="U7" s="1695">
        <f>D324</f>
        <v>244275.75235999946</v>
      </c>
    </row>
    <row r="8" spans="1:21" ht="15.75" thickBot="1" x14ac:dyDescent="0.4">
      <c r="A8" s="909"/>
      <c r="B8" s="767">
        <v>3</v>
      </c>
      <c r="C8" s="767" t="s">
        <v>15</v>
      </c>
      <c r="D8" s="771" t="s">
        <v>366</v>
      </c>
      <c r="E8" s="767">
        <v>83.5</v>
      </c>
      <c r="F8" s="769">
        <f t="shared" si="0"/>
        <v>898.46</v>
      </c>
      <c r="G8" s="767" t="s">
        <v>349</v>
      </c>
      <c r="H8" s="770">
        <v>2</v>
      </c>
      <c r="I8" s="771" t="str">
        <f>IF('Plot By Plot SoA'!Q8=0,"-",'Plot By Plot SoA'!Q8)</f>
        <v>-</v>
      </c>
      <c r="J8" s="767" t="s">
        <v>361</v>
      </c>
      <c r="K8" s="771" t="str">
        <f>'Plot By Plot SoA'!K8</f>
        <v>Frontage Amenity</v>
      </c>
      <c r="L8" s="773">
        <v>165</v>
      </c>
      <c r="P8" s="1691" t="s">
        <v>660</v>
      </c>
      <c r="Q8" s="1692"/>
      <c r="R8" s="1692"/>
      <c r="S8" s="1692"/>
      <c r="T8" s="674">
        <f>SUM(E329:E333)</f>
        <v>309.82</v>
      </c>
      <c r="U8" s="1339">
        <f>F335</f>
        <v>3334.871498</v>
      </c>
    </row>
    <row r="9" spans="1:21" ht="15.75" thickBot="1" x14ac:dyDescent="0.4">
      <c r="A9" s="909"/>
      <c r="B9" s="767">
        <v>4</v>
      </c>
      <c r="C9" s="767" t="s">
        <v>15</v>
      </c>
      <c r="D9" s="771" t="s">
        <v>366</v>
      </c>
      <c r="E9" s="767">
        <v>97.7</v>
      </c>
      <c r="F9" s="769">
        <f t="shared" si="0"/>
        <v>1051.252</v>
      </c>
      <c r="G9" s="767" t="s">
        <v>349</v>
      </c>
      <c r="H9" s="770">
        <v>2</v>
      </c>
      <c r="I9" s="771" t="str">
        <f>IF('Plot By Plot SoA'!Q9=0,"-",'Plot By Plot SoA'!Q9)</f>
        <v>-</v>
      </c>
      <c r="J9" s="767" t="s">
        <v>361</v>
      </c>
      <c r="K9" s="771" t="str">
        <f>'Plot By Plot SoA'!K9</f>
        <v>Frontage Amenity</v>
      </c>
      <c r="L9" s="773">
        <v>75</v>
      </c>
      <c r="P9" s="839" t="s">
        <v>418</v>
      </c>
      <c r="Q9" s="840"/>
      <c r="R9" s="840"/>
      <c r="S9" s="840"/>
      <c r="T9" s="675">
        <f>SUM(T7:T8)</f>
        <v>23004.020000000077</v>
      </c>
      <c r="U9" s="678">
        <f>SUM(U7:U8)</f>
        <v>247610.62385799945</v>
      </c>
    </row>
    <row r="10" spans="1:21" ht="15.75" thickBot="1" x14ac:dyDescent="0.4">
      <c r="A10" s="910"/>
      <c r="B10" s="767">
        <v>5</v>
      </c>
      <c r="C10" s="767" t="s">
        <v>15</v>
      </c>
      <c r="D10" s="771" t="s">
        <v>365</v>
      </c>
      <c r="E10" s="767">
        <v>70.2</v>
      </c>
      <c r="F10" s="769">
        <f t="shared" si="0"/>
        <v>755.35199999999998</v>
      </c>
      <c r="G10" s="767" t="s">
        <v>347</v>
      </c>
      <c r="H10" s="770">
        <v>2</v>
      </c>
      <c r="I10" s="771" t="str">
        <f>IF('Plot By Plot SoA'!Q10=0,"-",'Plot By Plot SoA'!Q10)</f>
        <v>-</v>
      </c>
      <c r="J10" s="767" t="s">
        <v>362</v>
      </c>
      <c r="K10" s="771" t="str">
        <f>'Plot By Plot SoA'!K10</f>
        <v>Frontage Amenity</v>
      </c>
      <c r="L10" s="773">
        <v>208</v>
      </c>
      <c r="P10" s="1305"/>
      <c r="Q10" s="1305"/>
      <c r="R10" s="1305"/>
      <c r="S10" s="1305"/>
      <c r="T10" s="1306"/>
      <c r="U10" s="1307"/>
    </row>
    <row r="11" spans="1:21" x14ac:dyDescent="0.35">
      <c r="A11" s="925" t="s">
        <v>44</v>
      </c>
      <c r="B11" s="708">
        <v>6</v>
      </c>
      <c r="C11" s="708" t="s">
        <v>15</v>
      </c>
      <c r="D11" s="709" t="s">
        <v>365</v>
      </c>
      <c r="E11" s="710">
        <v>100.6</v>
      </c>
      <c r="F11" s="711">
        <f t="shared" ref="F11:F12" si="1">SUM(E11*10.7639)</f>
        <v>1082.84834</v>
      </c>
      <c r="G11" s="708" t="s">
        <v>348</v>
      </c>
      <c r="H11" s="712">
        <v>2</v>
      </c>
      <c r="I11" s="709" t="str">
        <f>IF('Plot By Plot SoA'!Q11=0,"-",'Plot By Plot SoA'!Q11)</f>
        <v>-</v>
      </c>
      <c r="J11" s="708" t="s">
        <v>361</v>
      </c>
      <c r="K11" s="709" t="str">
        <f>'Plot By Plot SoA'!K11</f>
        <v>Private Front Garden</v>
      </c>
      <c r="L11" s="713">
        <v>73</v>
      </c>
      <c r="P11" s="792" t="s">
        <v>403</v>
      </c>
      <c r="Q11" s="793"/>
      <c r="R11" s="793"/>
      <c r="S11" s="793"/>
      <c r="T11" s="793"/>
      <c r="U11" s="794"/>
    </row>
    <row r="12" spans="1:21" ht="17.25" customHeight="1" x14ac:dyDescent="0.35">
      <c r="A12" s="926"/>
      <c r="B12" s="708">
        <v>7</v>
      </c>
      <c r="C12" s="708" t="s">
        <v>15</v>
      </c>
      <c r="D12" s="709" t="s">
        <v>366</v>
      </c>
      <c r="E12" s="710">
        <v>79.8</v>
      </c>
      <c r="F12" s="711">
        <f t="shared" si="1"/>
        <v>858.95921999999996</v>
      </c>
      <c r="G12" s="708" t="s">
        <v>347</v>
      </c>
      <c r="H12" s="712">
        <v>2</v>
      </c>
      <c r="I12" s="709" t="str">
        <f>IF('Plot By Plot SoA'!Q12=0,"-",'Plot By Plot SoA'!Q12)</f>
        <v>-</v>
      </c>
      <c r="J12" s="708" t="s">
        <v>362</v>
      </c>
      <c r="K12" s="709" t="str">
        <f>'Plot By Plot SoA'!K12</f>
        <v>Private Front Garden</v>
      </c>
      <c r="L12" s="713">
        <v>181</v>
      </c>
      <c r="P12" s="844"/>
      <c r="Q12" s="845"/>
      <c r="R12" s="845"/>
      <c r="S12" s="846"/>
      <c r="T12" s="672" t="s">
        <v>247</v>
      </c>
      <c r="U12" s="673" t="s">
        <v>246</v>
      </c>
    </row>
    <row r="13" spans="1:21" x14ac:dyDescent="0.35">
      <c r="A13" s="926"/>
      <c r="B13" s="708">
        <v>8</v>
      </c>
      <c r="C13" s="708" t="s">
        <v>15</v>
      </c>
      <c r="D13" s="709" t="s">
        <v>365</v>
      </c>
      <c r="E13" s="714">
        <v>140.19999999999999</v>
      </c>
      <c r="F13" s="715">
        <f>SUM(E13*10.7639)</f>
        <v>1509.0987799999998</v>
      </c>
      <c r="G13" s="708" t="s">
        <v>350</v>
      </c>
      <c r="H13" s="712">
        <v>3</v>
      </c>
      <c r="I13" s="709" t="str">
        <f>IF('Plot By Plot SoA'!Q13=0,"-",'Plot By Plot SoA'!Q13)</f>
        <v>-</v>
      </c>
      <c r="J13" s="708" t="s">
        <v>361</v>
      </c>
      <c r="K13" s="709" t="str">
        <f>'Plot By Plot SoA'!K13</f>
        <v>Private Front Garden</v>
      </c>
      <c r="L13" s="713">
        <v>297</v>
      </c>
      <c r="P13" s="837" t="s">
        <v>425</v>
      </c>
      <c r="Q13" s="838"/>
      <c r="R13" s="838"/>
      <c r="S13" s="838"/>
      <c r="T13" s="674">
        <f>K334</f>
        <v>2954.2500000000005</v>
      </c>
      <c r="U13" s="671">
        <f>L334</f>
        <v>31799.251575000002</v>
      </c>
    </row>
    <row r="14" spans="1:21" ht="15.75" thickBot="1" x14ac:dyDescent="0.4">
      <c r="A14" s="926"/>
      <c r="B14" s="708">
        <v>9</v>
      </c>
      <c r="C14" s="708" t="s">
        <v>51</v>
      </c>
      <c r="D14" s="709" t="s">
        <v>383</v>
      </c>
      <c r="E14" s="710">
        <v>85</v>
      </c>
      <c r="F14" s="711">
        <f t="shared" ref="F14:F19" si="2">SUM(E14*10.7639)</f>
        <v>914.93149999999991</v>
      </c>
      <c r="G14" s="708" t="s">
        <v>349</v>
      </c>
      <c r="H14" s="712">
        <v>2</v>
      </c>
      <c r="I14" s="709" t="str">
        <f>IF('Plot By Plot SoA'!Q15=0,"-",'Plot By Plot SoA'!Q15)</f>
        <v>-</v>
      </c>
      <c r="J14" s="708" t="s">
        <v>362</v>
      </c>
      <c r="K14" s="709" t="str">
        <f>'Plot By Plot SoA'!K15</f>
        <v>Roof Terrace</v>
      </c>
      <c r="L14" s="713">
        <v>140</v>
      </c>
      <c r="P14" s="1332" t="s">
        <v>14</v>
      </c>
      <c r="Q14" s="1333"/>
      <c r="R14" s="1333"/>
      <c r="S14" s="1334"/>
      <c r="T14" s="1340">
        <f>E337</f>
        <v>169.5</v>
      </c>
      <c r="U14" s="1339">
        <f>F337</f>
        <v>1824.4810499999999</v>
      </c>
    </row>
    <row r="15" spans="1:21" ht="15.75" thickBot="1" x14ac:dyDescent="0.4">
      <c r="A15" s="926"/>
      <c r="B15" s="708">
        <v>10</v>
      </c>
      <c r="C15" s="708" t="s">
        <v>51</v>
      </c>
      <c r="D15" s="709" t="s">
        <v>382</v>
      </c>
      <c r="E15" s="710">
        <v>54.5</v>
      </c>
      <c r="F15" s="711">
        <f t="shared" si="2"/>
        <v>586.63254999999992</v>
      </c>
      <c r="G15" s="708" t="s">
        <v>351</v>
      </c>
      <c r="H15" s="712">
        <v>2</v>
      </c>
      <c r="I15" s="709" t="str">
        <f>IF('Plot By Plot SoA'!Q16=0,"-",'Plot By Plot SoA'!Q16)</f>
        <v>-</v>
      </c>
      <c r="J15" s="708" t="s">
        <v>362</v>
      </c>
      <c r="K15" s="709" t="str">
        <f>'Plot By Plot SoA'!K16</f>
        <v>Roof Terrace</v>
      </c>
      <c r="L15" s="713">
        <v>102</v>
      </c>
      <c r="P15" s="839" t="s">
        <v>661</v>
      </c>
      <c r="Q15" s="840"/>
      <c r="R15" s="840"/>
      <c r="S15" s="840"/>
      <c r="T15" s="675">
        <f>SUM(T13:T14)</f>
        <v>3123.7500000000005</v>
      </c>
      <c r="U15" s="678">
        <f>SUM(U13:U14)</f>
        <v>33623.732625000004</v>
      </c>
    </row>
    <row r="16" spans="1:21" ht="15.75" thickBot="1" x14ac:dyDescent="0.4">
      <c r="A16" s="926"/>
      <c r="B16" s="708">
        <v>11</v>
      </c>
      <c r="C16" s="708" t="s">
        <v>51</v>
      </c>
      <c r="D16" s="709" t="s">
        <v>383</v>
      </c>
      <c r="E16" s="710">
        <v>86.1</v>
      </c>
      <c r="F16" s="711">
        <f t="shared" si="2"/>
        <v>926.7717899999999</v>
      </c>
      <c r="G16" s="708" t="s">
        <v>347</v>
      </c>
      <c r="H16" s="712">
        <v>2</v>
      </c>
      <c r="I16" s="709" t="str">
        <f>IF('Plot By Plot SoA'!Q17=0,"-",'Plot By Plot SoA'!Q17)</f>
        <v>-</v>
      </c>
      <c r="J16" s="708" t="s">
        <v>362</v>
      </c>
      <c r="K16" s="709" t="str">
        <f>'Plot By Plot SoA'!K17</f>
        <v>Roof Terrace</v>
      </c>
      <c r="L16" s="713">
        <v>51</v>
      </c>
      <c r="P16" s="1305"/>
      <c r="Q16" s="1305"/>
      <c r="R16" s="1305"/>
      <c r="S16" s="1305"/>
      <c r="T16" s="1306"/>
      <c r="U16" s="1307"/>
    </row>
    <row r="17" spans="1:22" x14ac:dyDescent="0.35">
      <c r="A17" s="926"/>
      <c r="B17" s="708">
        <v>12</v>
      </c>
      <c r="C17" s="708" t="s">
        <v>15</v>
      </c>
      <c r="D17" s="709" t="s">
        <v>365</v>
      </c>
      <c r="E17" s="710">
        <v>71.5</v>
      </c>
      <c r="F17" s="711">
        <f t="shared" si="2"/>
        <v>769.61884999999995</v>
      </c>
      <c r="G17" s="708" t="s">
        <v>347</v>
      </c>
      <c r="H17" s="712">
        <v>2</v>
      </c>
      <c r="I17" s="709" t="str">
        <f>IF('Plot By Plot SoA'!Q18=0,"-",'Plot By Plot SoA'!Q18)</f>
        <v>-</v>
      </c>
      <c r="J17" s="708" t="s">
        <v>362</v>
      </c>
      <c r="K17" s="709" t="str">
        <f>'Plot By Plot SoA'!K18</f>
        <v>Frontage Amenity</v>
      </c>
      <c r="L17" s="713">
        <v>146</v>
      </c>
      <c r="P17" s="792" t="s">
        <v>662</v>
      </c>
      <c r="Q17" s="793"/>
      <c r="R17" s="793"/>
      <c r="S17" s="793"/>
      <c r="T17" s="793"/>
      <c r="U17" s="794"/>
    </row>
    <row r="18" spans="1:22" x14ac:dyDescent="0.35">
      <c r="A18" s="926"/>
      <c r="B18" s="708">
        <v>13</v>
      </c>
      <c r="C18" s="708" t="s">
        <v>15</v>
      </c>
      <c r="D18" s="709" t="s">
        <v>366</v>
      </c>
      <c r="E18" s="710">
        <v>105.8</v>
      </c>
      <c r="F18" s="711">
        <f t="shared" si="2"/>
        <v>1138.82062</v>
      </c>
      <c r="G18" s="708" t="s">
        <v>352</v>
      </c>
      <c r="H18" s="712">
        <v>3</v>
      </c>
      <c r="I18" s="709" t="str">
        <f>IF('Plot By Plot SoA'!Q19=0,"-",'Plot By Plot SoA'!Q19)</f>
        <v>-</v>
      </c>
      <c r="J18" s="708" t="s">
        <v>361</v>
      </c>
      <c r="K18" s="709" t="str">
        <f>'Plot By Plot SoA'!K19</f>
        <v>Roof Terrace</v>
      </c>
      <c r="L18" s="713">
        <v>164</v>
      </c>
      <c r="P18" s="844"/>
      <c r="Q18" s="845"/>
      <c r="R18" s="845"/>
      <c r="S18" s="846"/>
      <c r="T18" s="672" t="s">
        <v>247</v>
      </c>
      <c r="U18" s="673" t="s">
        <v>246</v>
      </c>
    </row>
    <row r="19" spans="1:22" x14ac:dyDescent="0.35">
      <c r="A19" s="927"/>
      <c r="B19" s="708">
        <v>14</v>
      </c>
      <c r="C19" s="708" t="s">
        <v>15</v>
      </c>
      <c r="D19" s="709" t="s">
        <v>365</v>
      </c>
      <c r="E19" s="710">
        <v>70.599999999999994</v>
      </c>
      <c r="F19" s="711">
        <f t="shared" si="2"/>
        <v>759.93133999999986</v>
      </c>
      <c r="G19" s="708" t="s">
        <v>347</v>
      </c>
      <c r="H19" s="712">
        <v>2</v>
      </c>
      <c r="I19" s="709" t="str">
        <f>IF('Plot By Plot SoA'!Q20=0,"-",'Plot By Plot SoA'!Q20)</f>
        <v>-</v>
      </c>
      <c r="J19" s="708" t="s">
        <v>362</v>
      </c>
      <c r="K19" s="709" t="str">
        <f>'Plot By Plot SoA'!K20</f>
        <v>Private Front Garden</v>
      </c>
      <c r="L19" s="713">
        <v>123</v>
      </c>
      <c r="P19" s="837" t="s">
        <v>663</v>
      </c>
      <c r="Q19" s="838"/>
      <c r="R19" s="838"/>
      <c r="S19" s="838"/>
      <c r="T19" s="674">
        <f>T7+T13</f>
        <v>25648.450000000077</v>
      </c>
      <c r="U19" s="671">
        <f>L340</f>
        <v>281234.35648299946</v>
      </c>
    </row>
    <row r="20" spans="1:22" ht="15.75" thickBot="1" x14ac:dyDescent="0.4">
      <c r="A20" s="909" t="s">
        <v>342</v>
      </c>
      <c r="B20" s="767">
        <v>15</v>
      </c>
      <c r="C20" s="767" t="s">
        <v>15</v>
      </c>
      <c r="D20" s="771" t="s">
        <v>365</v>
      </c>
      <c r="E20" s="767">
        <v>99.3</v>
      </c>
      <c r="F20" s="769">
        <f t="shared" si="0"/>
        <v>1068.4679999999998</v>
      </c>
      <c r="G20" s="767" t="s">
        <v>352</v>
      </c>
      <c r="H20" s="770">
        <v>2</v>
      </c>
      <c r="I20" s="771" t="str">
        <f>IF('Plot By Plot SoA'!Q21=0,"-",'Plot By Plot SoA'!Q21)</f>
        <v>Y</v>
      </c>
      <c r="J20" s="767" t="s">
        <v>361</v>
      </c>
      <c r="K20" s="771" t="str">
        <f>'Plot By Plot SoA'!K21</f>
        <v>Private Front Garden</v>
      </c>
      <c r="L20" s="773">
        <v>198</v>
      </c>
      <c r="P20" s="1332" t="s">
        <v>664</v>
      </c>
      <c r="Q20" s="1333"/>
      <c r="R20" s="1333"/>
      <c r="S20" s="1334"/>
      <c r="T20" s="1340">
        <f>SUM(T8+T14)</f>
        <v>479.32</v>
      </c>
      <c r="U20" s="1339">
        <f>SUM(U8+U14)</f>
        <v>5159.3525479999998</v>
      </c>
      <c r="V20" s="1304"/>
    </row>
    <row r="21" spans="1:22" ht="30.75" thickBot="1" x14ac:dyDescent="0.4">
      <c r="A21" s="909"/>
      <c r="B21" s="767">
        <v>16</v>
      </c>
      <c r="C21" s="767" t="s">
        <v>15</v>
      </c>
      <c r="D21" s="774" t="s">
        <v>369</v>
      </c>
      <c r="E21" s="767">
        <v>83.1</v>
      </c>
      <c r="F21" s="769">
        <f t="shared" si="0"/>
        <v>894.15599999999995</v>
      </c>
      <c r="G21" s="767" t="s">
        <v>347</v>
      </c>
      <c r="H21" s="770">
        <v>3</v>
      </c>
      <c r="I21" s="771" t="str">
        <f>IF('Plot By Plot SoA'!Q22=0,"-",'Plot By Plot SoA'!Q22)</f>
        <v>Y</v>
      </c>
      <c r="J21" s="767" t="s">
        <v>362</v>
      </c>
      <c r="K21" s="771" t="str">
        <f>'Plot By Plot SoA'!K22</f>
        <v>Roof Terrace</v>
      </c>
      <c r="L21" s="773">
        <v>243</v>
      </c>
      <c r="P21" s="839" t="s">
        <v>661</v>
      </c>
      <c r="Q21" s="840"/>
      <c r="R21" s="840"/>
      <c r="S21" s="840"/>
      <c r="T21" s="675">
        <f>SUM(T19:T20)</f>
        <v>26127.770000000077</v>
      </c>
      <c r="U21" s="678">
        <f>SUM(U19:U20)</f>
        <v>286393.70903099945</v>
      </c>
      <c r="V21" s="1693"/>
    </row>
    <row r="22" spans="1:22" ht="30.75" thickBot="1" x14ac:dyDescent="0.4">
      <c r="A22" s="909"/>
      <c r="B22" s="767">
        <v>17</v>
      </c>
      <c r="C22" s="767" t="s">
        <v>15</v>
      </c>
      <c r="D22" s="774" t="s">
        <v>369</v>
      </c>
      <c r="E22" s="775">
        <v>83.1</v>
      </c>
      <c r="F22" s="776">
        <f t="shared" ref="F22:F74" si="3">SUM(E22*10.7639)</f>
        <v>894.4800899999999</v>
      </c>
      <c r="G22" s="767" t="s">
        <v>347</v>
      </c>
      <c r="H22" s="770">
        <v>3</v>
      </c>
      <c r="I22" s="771" t="str">
        <f>IF('Plot By Plot SoA'!Q23=0,"-",'Plot By Plot SoA'!Q23)</f>
        <v>Y</v>
      </c>
      <c r="J22" s="767" t="s">
        <v>362</v>
      </c>
      <c r="K22" s="771" t="str">
        <f>'Plot By Plot SoA'!K23</f>
        <v>Roof Terrace</v>
      </c>
      <c r="L22" s="772">
        <v>246</v>
      </c>
      <c r="V22" s="1694"/>
    </row>
    <row r="23" spans="1:22" ht="15.75" thickBot="1" x14ac:dyDescent="0.4">
      <c r="A23" s="910"/>
      <c r="B23" s="767">
        <v>18</v>
      </c>
      <c r="C23" s="767" t="s">
        <v>51</v>
      </c>
      <c r="D23" s="771" t="s">
        <v>363</v>
      </c>
      <c r="E23" s="775">
        <v>65.599999999999994</v>
      </c>
      <c r="F23" s="776">
        <f t="shared" si="3"/>
        <v>706.11183999999992</v>
      </c>
      <c r="G23" s="767" t="s">
        <v>347</v>
      </c>
      <c r="H23" s="770">
        <v>2</v>
      </c>
      <c r="I23" s="771" t="str">
        <f>IF('Plot By Plot SoA'!Q24=0,"-",'Plot By Plot SoA'!Q24)</f>
        <v>-</v>
      </c>
      <c r="J23" s="767" t="s">
        <v>362</v>
      </c>
      <c r="K23" s="771" t="str">
        <f>'Plot By Plot SoA'!K24</f>
        <v>Community Amenity</v>
      </c>
      <c r="L23" s="772" t="s">
        <v>79</v>
      </c>
      <c r="P23" s="832" t="s">
        <v>402</v>
      </c>
      <c r="Q23" s="833"/>
      <c r="R23" s="833"/>
      <c r="S23" s="833"/>
      <c r="T23" s="833"/>
      <c r="U23" s="833"/>
      <c r="V23" s="834"/>
    </row>
    <row r="24" spans="1:22" x14ac:dyDescent="0.35">
      <c r="A24" s="911" t="s">
        <v>343</v>
      </c>
      <c r="B24" s="767">
        <v>19</v>
      </c>
      <c r="C24" s="767" t="s">
        <v>51</v>
      </c>
      <c r="D24" s="771" t="s">
        <v>368</v>
      </c>
      <c r="E24" s="775">
        <v>83.7</v>
      </c>
      <c r="F24" s="776">
        <f t="shared" si="3"/>
        <v>900.93843000000004</v>
      </c>
      <c r="G24" s="767" t="s">
        <v>347</v>
      </c>
      <c r="H24" s="770">
        <v>2</v>
      </c>
      <c r="I24" s="771" t="str">
        <f>IF('Plot By Plot SoA'!Q25=0,"-",'Plot By Plot SoA'!Q25)</f>
        <v>-</v>
      </c>
      <c r="J24" s="767" t="s">
        <v>362</v>
      </c>
      <c r="K24" s="771" t="str">
        <f>'Plot By Plot SoA'!K25</f>
        <v>Roof Terrace</v>
      </c>
      <c r="L24" s="773">
        <v>65</v>
      </c>
      <c r="P24" s="167"/>
      <c r="Q24" s="1353" t="s">
        <v>60</v>
      </c>
      <c r="R24" s="398" t="s">
        <v>196</v>
      </c>
      <c r="S24" s="1354" t="s">
        <v>80</v>
      </c>
      <c r="T24" s="1355" t="s">
        <v>55</v>
      </c>
      <c r="U24" s="164" t="s">
        <v>56</v>
      </c>
      <c r="V24" s="683" t="s">
        <v>52</v>
      </c>
    </row>
    <row r="25" spans="1:22" x14ac:dyDescent="0.35">
      <c r="A25" s="909"/>
      <c r="B25" s="767">
        <v>20</v>
      </c>
      <c r="C25" s="767" t="s">
        <v>51</v>
      </c>
      <c r="D25" s="771" t="s">
        <v>363</v>
      </c>
      <c r="E25" s="775">
        <v>59.6</v>
      </c>
      <c r="F25" s="776">
        <f t="shared" si="3"/>
        <v>641.52844000000005</v>
      </c>
      <c r="G25" s="767" t="s">
        <v>351</v>
      </c>
      <c r="H25" s="770">
        <v>2</v>
      </c>
      <c r="I25" s="771" t="str">
        <f>IF('Plot By Plot SoA'!Q26=0,"-",'Plot By Plot SoA'!Q26)</f>
        <v>-</v>
      </c>
      <c r="J25" s="767" t="s">
        <v>362</v>
      </c>
      <c r="K25" s="771" t="str">
        <f>'Plot By Plot SoA'!K26</f>
        <v>Roof Terrace</v>
      </c>
      <c r="L25" s="773">
        <v>87</v>
      </c>
      <c r="P25" s="157" t="s">
        <v>28</v>
      </c>
      <c r="Q25" s="1343">
        <f>'Plot By Plot SoA'!V7</f>
        <v>0</v>
      </c>
      <c r="R25" s="1351">
        <f>'Plot By Plot SoA'!W7</f>
        <v>0</v>
      </c>
      <c r="S25" s="1348">
        <f>'Plot By Plot SoA'!X7</f>
        <v>22</v>
      </c>
      <c r="T25" s="1348">
        <f>'Plot By Plot SoA'!Y7</f>
        <v>6</v>
      </c>
      <c r="U25" s="1342">
        <f>'Plot By Plot SoA'!Z7</f>
        <v>111</v>
      </c>
      <c r="V25" s="492">
        <f>SUM(Q25:U25)</f>
        <v>139</v>
      </c>
    </row>
    <row r="26" spans="1:22" ht="30" x14ac:dyDescent="0.35">
      <c r="A26" s="909"/>
      <c r="B26" s="767">
        <v>21</v>
      </c>
      <c r="C26" s="767" t="s">
        <v>15</v>
      </c>
      <c r="D26" s="774" t="s">
        <v>369</v>
      </c>
      <c r="E26" s="775">
        <v>83.6</v>
      </c>
      <c r="F26" s="776">
        <f t="shared" si="3"/>
        <v>899.86203999999987</v>
      </c>
      <c r="G26" s="767" t="s">
        <v>347</v>
      </c>
      <c r="H26" s="770">
        <v>3</v>
      </c>
      <c r="I26" s="771" t="str">
        <f>IF('Plot By Plot SoA'!Q27=0,"-",'Plot By Plot SoA'!Q27)</f>
        <v>Y</v>
      </c>
      <c r="J26" s="767" t="s">
        <v>362</v>
      </c>
      <c r="K26" s="771" t="str">
        <f>'Plot By Plot SoA'!K27</f>
        <v>Roof Terrace</v>
      </c>
      <c r="L26" s="773">
        <v>243</v>
      </c>
      <c r="P26" s="157" t="s">
        <v>29</v>
      </c>
      <c r="Q26" s="1344">
        <f>'Plot By Plot SoA'!V8</f>
        <v>44</v>
      </c>
      <c r="R26" s="201">
        <f>'Plot By Plot SoA'!W8</f>
        <v>3</v>
      </c>
      <c r="S26" s="1324">
        <f>'Plot By Plot SoA'!X8</f>
        <v>23</v>
      </c>
      <c r="T26" s="1324">
        <f>'Plot By Plot SoA'!Y8</f>
        <v>20</v>
      </c>
      <c r="U26" s="1341">
        <f>'Plot By Plot SoA'!Z8</f>
        <v>6</v>
      </c>
      <c r="V26" s="1367">
        <f>SUM(Q26:U26)</f>
        <v>96</v>
      </c>
    </row>
    <row r="27" spans="1:22" ht="30" x14ac:dyDescent="0.35">
      <c r="A27" s="909"/>
      <c r="B27" s="767">
        <v>22</v>
      </c>
      <c r="C27" s="767" t="s">
        <v>15</v>
      </c>
      <c r="D27" s="774" t="s">
        <v>369</v>
      </c>
      <c r="E27" s="775">
        <v>83.6</v>
      </c>
      <c r="F27" s="776">
        <f t="shared" si="3"/>
        <v>899.86203999999987</v>
      </c>
      <c r="G27" s="767" t="s">
        <v>347</v>
      </c>
      <c r="H27" s="770">
        <v>3</v>
      </c>
      <c r="I27" s="771" t="str">
        <f>IF('Plot By Plot SoA'!Q28=0,"-",'Plot By Plot SoA'!Q28)</f>
        <v>Y</v>
      </c>
      <c r="J27" s="767" t="s">
        <v>362</v>
      </c>
      <c r="K27" s="771" t="str">
        <f>'Plot By Plot SoA'!K28</f>
        <v>Roof Terrace</v>
      </c>
      <c r="L27" s="772">
        <v>246</v>
      </c>
      <c r="P27" s="157" t="s">
        <v>30</v>
      </c>
      <c r="Q27" s="1346">
        <f>'Plot By Plot SoA'!V9</f>
        <v>47</v>
      </c>
      <c r="R27" s="182">
        <f>'Plot By Plot SoA'!W9</f>
        <v>0</v>
      </c>
      <c r="S27" s="1349">
        <f>'Plot By Plot SoA'!X9</f>
        <v>18</v>
      </c>
      <c r="T27" s="1349">
        <f>'Plot By Plot SoA'!Y9</f>
        <v>2</v>
      </c>
      <c r="U27" s="1347">
        <f>'Plot By Plot SoA'!Z9</f>
        <v>2</v>
      </c>
      <c r="V27" s="1367">
        <f>SUM(Q27:U27)</f>
        <v>69</v>
      </c>
    </row>
    <row r="28" spans="1:22" ht="15.75" thickBot="1" x14ac:dyDescent="0.4">
      <c r="A28" s="909"/>
      <c r="B28" s="767">
        <v>23</v>
      </c>
      <c r="C28" s="767" t="s">
        <v>15</v>
      </c>
      <c r="D28" s="771" t="s">
        <v>366</v>
      </c>
      <c r="E28" s="775">
        <v>87.2</v>
      </c>
      <c r="F28" s="776">
        <f t="shared" si="3"/>
        <v>938.61207999999999</v>
      </c>
      <c r="G28" s="767" t="s">
        <v>352</v>
      </c>
      <c r="H28" s="770">
        <v>2</v>
      </c>
      <c r="I28" s="771" t="str">
        <f>IF('Plot By Plot SoA'!Q29=0,"-",'Plot By Plot SoA'!Q29)</f>
        <v>-</v>
      </c>
      <c r="J28" s="767" t="s">
        <v>361</v>
      </c>
      <c r="K28" s="771" t="str">
        <f>'Plot By Plot SoA'!K29</f>
        <v>Private Front Garden</v>
      </c>
      <c r="L28" s="773">
        <v>140</v>
      </c>
      <c r="P28" s="167" t="s">
        <v>62</v>
      </c>
      <c r="Q28" s="1345">
        <f>'Plot By Plot SoA'!V10</f>
        <v>13</v>
      </c>
      <c r="R28" s="1352">
        <f>'Plot By Plot SoA'!W10</f>
        <v>0</v>
      </c>
      <c r="S28" s="1350">
        <f>'Plot By Plot SoA'!X10</f>
        <v>0</v>
      </c>
      <c r="T28" s="1350">
        <f>'Plot By Plot SoA'!Y10</f>
        <v>0</v>
      </c>
      <c r="U28" s="164">
        <f>'Plot By Plot SoA'!Z10</f>
        <v>0</v>
      </c>
      <c r="V28" s="684">
        <f>SUM(Q28:U28)</f>
        <v>13</v>
      </c>
    </row>
    <row r="29" spans="1:22" ht="16.5" customHeight="1" thickBot="1" x14ac:dyDescent="0.4">
      <c r="A29" s="909"/>
      <c r="B29" s="767">
        <v>24</v>
      </c>
      <c r="C29" s="767" t="s">
        <v>15</v>
      </c>
      <c r="D29" s="771" t="s">
        <v>366</v>
      </c>
      <c r="E29" s="777">
        <v>159</v>
      </c>
      <c r="F29" s="778">
        <f t="shared" si="3"/>
        <v>1711.4601</v>
      </c>
      <c r="G29" s="767" t="s">
        <v>353</v>
      </c>
      <c r="H29" s="770">
        <v>3</v>
      </c>
      <c r="I29" s="771" t="str">
        <f>IF('Plot By Plot SoA'!Q30=0,"-",'Plot By Plot SoA'!Q30)</f>
        <v>Y</v>
      </c>
      <c r="J29" s="767" t="s">
        <v>361</v>
      </c>
      <c r="K29" s="771" t="str">
        <f>'Plot By Plot SoA'!K30</f>
        <v>Roof Terrace</v>
      </c>
      <c r="L29" s="773">
        <v>686</v>
      </c>
      <c r="P29" s="676" t="s">
        <v>52</v>
      </c>
      <c r="Q29" s="501">
        <f>SUM(Q25:Q28)</f>
        <v>104</v>
      </c>
      <c r="R29" s="677">
        <f>SUM(R26:R28)</f>
        <v>3</v>
      </c>
      <c r="S29" s="501">
        <f>SUM(S25:S28)</f>
        <v>63</v>
      </c>
      <c r="T29" s="501">
        <f>SUM(T25:T28)</f>
        <v>28</v>
      </c>
      <c r="U29" s="501">
        <f>SUM(U25:U28)</f>
        <v>119</v>
      </c>
      <c r="V29" s="1696">
        <f>SUM(Q29:U29)</f>
        <v>317</v>
      </c>
    </row>
    <row r="30" spans="1:22" ht="16.5" customHeight="1" thickBot="1" x14ac:dyDescent="0.4">
      <c r="A30" s="910"/>
      <c r="B30" s="767">
        <v>25</v>
      </c>
      <c r="C30" s="767" t="s">
        <v>15</v>
      </c>
      <c r="D30" s="771" t="s">
        <v>366</v>
      </c>
      <c r="E30" s="775">
        <v>71.5</v>
      </c>
      <c r="F30" s="776">
        <f t="shared" si="3"/>
        <v>769.61884999999995</v>
      </c>
      <c r="G30" s="767" t="s">
        <v>347</v>
      </c>
      <c r="H30" s="770">
        <v>2</v>
      </c>
      <c r="I30" s="771" t="str">
        <f>IF('Plot By Plot SoA'!Q32=0,"-",'Plot By Plot SoA'!Q32)</f>
        <v>-</v>
      </c>
      <c r="J30" s="767" t="s">
        <v>362</v>
      </c>
      <c r="K30" s="771" t="str">
        <f>'Plot By Plot SoA'!K32</f>
        <v>Community Amenity</v>
      </c>
      <c r="L30" s="773" t="s">
        <v>79</v>
      </c>
    </row>
    <row r="31" spans="1:22" ht="16.5" customHeight="1" x14ac:dyDescent="0.35">
      <c r="A31" s="916" t="s">
        <v>20</v>
      </c>
      <c r="B31" s="716">
        <v>26</v>
      </c>
      <c r="C31" s="716" t="s">
        <v>51</v>
      </c>
      <c r="D31" s="717" t="s">
        <v>382</v>
      </c>
      <c r="E31" s="716">
        <v>77.599999999999994</v>
      </c>
      <c r="F31" s="718">
        <f t="shared" si="3"/>
        <v>835.27863999999988</v>
      </c>
      <c r="G31" s="716" t="s">
        <v>347</v>
      </c>
      <c r="H31" s="719">
        <v>2</v>
      </c>
      <c r="I31" s="717" t="str">
        <f>IF('Plot By Plot SoA'!Q33=0,"-",'Plot By Plot SoA'!Q33)</f>
        <v>-</v>
      </c>
      <c r="J31" s="716" t="s">
        <v>362</v>
      </c>
      <c r="K31" s="717" t="str">
        <f>'Plot By Plot SoA'!K33</f>
        <v>Roof Terrace</v>
      </c>
      <c r="L31" s="720">
        <v>89</v>
      </c>
      <c r="P31" s="792" t="s">
        <v>408</v>
      </c>
      <c r="Q31" s="793"/>
      <c r="R31" s="793"/>
      <c r="S31" s="793"/>
      <c r="T31" s="793"/>
      <c r="U31" s="794"/>
    </row>
    <row r="32" spans="1:22" ht="16.5" customHeight="1" x14ac:dyDescent="0.35">
      <c r="A32" s="917"/>
      <c r="B32" s="716">
        <v>27</v>
      </c>
      <c r="C32" s="716" t="s">
        <v>51</v>
      </c>
      <c r="D32" s="717" t="s">
        <v>382</v>
      </c>
      <c r="E32" s="716">
        <v>77.2</v>
      </c>
      <c r="F32" s="718">
        <f t="shared" si="3"/>
        <v>830.97307999999998</v>
      </c>
      <c r="G32" s="716" t="s">
        <v>347</v>
      </c>
      <c r="H32" s="719">
        <v>2</v>
      </c>
      <c r="I32" s="717" t="str">
        <f>IF('Plot By Plot SoA'!Q34=0,"-",'Plot By Plot SoA'!Q34)</f>
        <v>-</v>
      </c>
      <c r="J32" s="716" t="s">
        <v>362</v>
      </c>
      <c r="K32" s="717" t="str">
        <f>IF('Plot By Plot SoA'!K34=0,"-",'Plot By Plot SoA'!K34)</f>
        <v>Roof Terrace</v>
      </c>
      <c r="L32" s="720">
        <v>89</v>
      </c>
      <c r="P32" s="680"/>
      <c r="Q32" s="1357" t="s">
        <v>404</v>
      </c>
      <c r="R32" s="401" t="s">
        <v>405</v>
      </c>
      <c r="S32" s="1356" t="s">
        <v>407</v>
      </c>
      <c r="T32" s="1323" t="s">
        <v>406</v>
      </c>
      <c r="U32" s="682" t="s">
        <v>52</v>
      </c>
    </row>
    <row r="33" spans="1:25" ht="16.5" customHeight="1" x14ac:dyDescent="0.35">
      <c r="A33" s="917"/>
      <c r="B33" s="716">
        <v>28</v>
      </c>
      <c r="C33" s="716" t="s">
        <v>15</v>
      </c>
      <c r="D33" s="717" t="s">
        <v>365</v>
      </c>
      <c r="E33" s="716">
        <v>97.1</v>
      </c>
      <c r="F33" s="718">
        <f t="shared" si="3"/>
        <v>1045.1746899999998</v>
      </c>
      <c r="G33" s="716" t="s">
        <v>352</v>
      </c>
      <c r="H33" s="719">
        <v>2</v>
      </c>
      <c r="I33" s="717" t="str">
        <f>IF('Plot By Plot SoA'!Q35=0,"-",'Plot By Plot SoA'!Q35)</f>
        <v>-</v>
      </c>
      <c r="J33" s="716" t="s">
        <v>362</v>
      </c>
      <c r="K33" s="717" t="str">
        <f>IF('Plot By Plot SoA'!K35=0,"-",'Plot By Plot SoA'!K35)</f>
        <v>Community Amenity</v>
      </c>
      <c r="L33" s="720" t="s">
        <v>79</v>
      </c>
      <c r="P33" s="681" t="s">
        <v>28</v>
      </c>
      <c r="Q33" s="1358">
        <f>COUNTIFS(D$6:D$322,"EoT House",G$6:G$322,"*1B*")</f>
        <v>0</v>
      </c>
      <c r="R33" s="498">
        <f>COUNTIFS(D$6:D$322,"MT House",G$6:G$322,"*1B*")</f>
        <v>0</v>
      </c>
      <c r="S33" s="1366">
        <f>COUNTIFS(D$6:D$322,"Semi-Detached House",G$6:G$322,"*1B*")</f>
        <v>0</v>
      </c>
      <c r="T33" s="1362">
        <f>COUNTIFS(D$6:D$322,"Detached House",G$6:G$322,"*1B*")</f>
        <v>0</v>
      </c>
      <c r="U33" s="682">
        <f>SUM(Q33:T33)</f>
        <v>0</v>
      </c>
    </row>
    <row r="34" spans="1:25" ht="16.5" customHeight="1" x14ac:dyDescent="0.35">
      <c r="A34" s="917"/>
      <c r="B34" s="716">
        <v>29</v>
      </c>
      <c r="C34" s="716" t="s">
        <v>15</v>
      </c>
      <c r="D34" s="717" t="s">
        <v>366</v>
      </c>
      <c r="E34" s="716">
        <v>94.7</v>
      </c>
      <c r="F34" s="718">
        <f t="shared" si="3"/>
        <v>1019.34133</v>
      </c>
      <c r="G34" s="716" t="s">
        <v>348</v>
      </c>
      <c r="H34" s="719">
        <v>3</v>
      </c>
      <c r="I34" s="717" t="str">
        <f>IF('Plot By Plot SoA'!Q36=0,"-",'Plot By Plot SoA'!Q36)</f>
        <v>-</v>
      </c>
      <c r="J34" s="716" t="s">
        <v>361</v>
      </c>
      <c r="K34" s="717" t="str">
        <f>IF('Plot By Plot SoA'!K36=0,"-",'Plot By Plot SoA'!K36)</f>
        <v>Roof Terrace</v>
      </c>
      <c r="L34" s="720">
        <v>140</v>
      </c>
      <c r="P34" s="157" t="s">
        <v>29</v>
      </c>
      <c r="Q34" s="1368">
        <f>COUNTIFS(D$6:D$322,"EoT House",G$6:G$322,"*2B*")</f>
        <v>13</v>
      </c>
      <c r="R34" s="779">
        <f>COUNTIFS(D$6:D$322,"MT House",G$6:G$322,"*2B*")</f>
        <v>26</v>
      </c>
      <c r="S34" s="1318">
        <f>COUNTIFS(D$6:D$322,"Semi-Detached House",G$6:G$322,"*2B*")</f>
        <v>5</v>
      </c>
      <c r="T34" s="1316">
        <f>COUNTIFS(D$6:D$322,"Detached House",G$6:G$322,"*2B*")</f>
        <v>0</v>
      </c>
      <c r="U34" s="1367">
        <f>SUM(Q34:T34)</f>
        <v>44</v>
      </c>
    </row>
    <row r="35" spans="1:25" ht="16.5" customHeight="1" x14ac:dyDescent="0.35">
      <c r="A35" s="917"/>
      <c r="B35" s="716">
        <v>30</v>
      </c>
      <c r="C35" s="716" t="s">
        <v>15</v>
      </c>
      <c r="D35" s="717" t="s">
        <v>366</v>
      </c>
      <c r="E35" s="716">
        <v>94.3</v>
      </c>
      <c r="F35" s="718">
        <f t="shared" si="3"/>
        <v>1015.03577</v>
      </c>
      <c r="G35" s="716" t="s">
        <v>348</v>
      </c>
      <c r="H35" s="719">
        <v>3</v>
      </c>
      <c r="I35" s="717" t="str">
        <f>IF('Plot By Plot SoA'!Q37=0,"-",'Plot By Plot SoA'!Q37)</f>
        <v>-</v>
      </c>
      <c r="J35" s="716" t="s">
        <v>361</v>
      </c>
      <c r="K35" s="717" t="str">
        <f>IF('Plot By Plot SoA'!K37=0,"-",'Plot By Plot SoA'!K37)</f>
        <v>Roof Terrace</v>
      </c>
      <c r="L35" s="720">
        <v>144</v>
      </c>
      <c r="P35" s="157" t="s">
        <v>30</v>
      </c>
      <c r="Q35" s="1364">
        <f>COUNTIFS(D$6:D$322,"EoT House",G$6:G$322,"*3B*")</f>
        <v>21</v>
      </c>
      <c r="R35" s="779">
        <f>COUNTIFS(D$6:D$322,"MT House",G$6:G$322,"*3B*")</f>
        <v>22</v>
      </c>
      <c r="S35" s="1365">
        <f>COUNTIFS(D$6:D$322,"Semi-Detached House",G$6:G$322,"*3B*")</f>
        <v>4</v>
      </c>
      <c r="T35" s="1316">
        <f>COUNTIFS(D$6:D$322,"Detached House",G$6:G$322,"*3B*")</f>
        <v>0</v>
      </c>
      <c r="U35" s="1367">
        <f>SUM(Q35:T35)</f>
        <v>47</v>
      </c>
    </row>
    <row r="36" spans="1:25" x14ac:dyDescent="0.35">
      <c r="A36" s="917"/>
      <c r="B36" s="716">
        <v>31</v>
      </c>
      <c r="C36" s="716" t="s">
        <v>51</v>
      </c>
      <c r="D36" s="717" t="s">
        <v>384</v>
      </c>
      <c r="E36" s="716">
        <v>107.5</v>
      </c>
      <c r="F36" s="718">
        <f t="shared" si="3"/>
        <v>1157.11925</v>
      </c>
      <c r="G36" s="716" t="s">
        <v>352</v>
      </c>
      <c r="H36" s="719">
        <v>3</v>
      </c>
      <c r="I36" s="717" t="str">
        <f>IF('Plot By Plot SoA'!Q38=0,"-",'Plot By Plot SoA'!Q38)</f>
        <v>-</v>
      </c>
      <c r="J36" s="716" t="s">
        <v>362</v>
      </c>
      <c r="K36" s="717" t="str">
        <f>IF('Plot By Plot SoA'!K38=0,"-",'Plot By Plot SoA'!K38)</f>
        <v>Balcony</v>
      </c>
      <c r="L36" s="720">
        <v>76</v>
      </c>
      <c r="P36" s="167" t="s">
        <v>62</v>
      </c>
      <c r="Q36" s="1359">
        <f>COUNTIFS(D$6:D$322,"EoT House",G$6:G$322,"*4B*")</f>
        <v>5</v>
      </c>
      <c r="R36" s="1361">
        <f>COUNTIFS(D$6:D$322,"MT House",G$6:G$322,"*4B*")</f>
        <v>4</v>
      </c>
      <c r="S36" s="481">
        <f>COUNTIFS(D$6:D$322,"Semi-Detached House",G$6:G$322,"*4B*")</f>
        <v>3</v>
      </c>
      <c r="T36" s="1363">
        <f>COUNTIFS(D$6:D$322,"Detached House",G$6:G$322,"*4B*")</f>
        <v>1</v>
      </c>
      <c r="U36" s="673">
        <f>SUM(Q36:T36)</f>
        <v>13</v>
      </c>
    </row>
    <row r="37" spans="1:25" ht="15.75" thickBot="1" x14ac:dyDescent="0.4">
      <c r="A37" s="917"/>
      <c r="B37" s="716">
        <v>32</v>
      </c>
      <c r="C37" s="716" t="s">
        <v>15</v>
      </c>
      <c r="D37" s="717" t="s">
        <v>365</v>
      </c>
      <c r="E37" s="716">
        <v>91.7</v>
      </c>
      <c r="F37" s="718">
        <f t="shared" si="3"/>
        <v>987.04962999999998</v>
      </c>
      <c r="G37" s="716" t="s">
        <v>348</v>
      </c>
      <c r="H37" s="719">
        <v>3</v>
      </c>
      <c r="I37" s="717" t="str">
        <f>IF('Plot By Plot SoA'!Q39=0,"-",'Plot By Plot SoA'!Q39)</f>
        <v>-</v>
      </c>
      <c r="J37" s="716" t="s">
        <v>361</v>
      </c>
      <c r="K37" s="717" t="str">
        <f>IF('Plot By Plot SoA'!K39=0,"-",'Plot By Plot SoA'!K39)</f>
        <v>Private Front Garden</v>
      </c>
      <c r="L37" s="720">
        <v>73</v>
      </c>
      <c r="P37" s="649" t="s">
        <v>52</v>
      </c>
      <c r="Q37" s="685">
        <f>SUM(Q33:Q36)</f>
        <v>39</v>
      </c>
      <c r="R37" s="1360">
        <f t="shared" ref="R37:T37" si="4">SUM(R33:R36)</f>
        <v>52</v>
      </c>
      <c r="S37" s="1360">
        <f t="shared" si="4"/>
        <v>12</v>
      </c>
      <c r="T37" s="686">
        <f t="shared" si="4"/>
        <v>1</v>
      </c>
      <c r="U37" s="493">
        <f>SUM(U33:U36)</f>
        <v>104</v>
      </c>
    </row>
    <row r="38" spans="1:25" ht="15.75" thickBot="1" x14ac:dyDescent="0.4">
      <c r="A38" s="917"/>
      <c r="B38" s="716">
        <v>33</v>
      </c>
      <c r="C38" s="716" t="s">
        <v>15</v>
      </c>
      <c r="D38" s="717" t="s">
        <v>366</v>
      </c>
      <c r="E38" s="716">
        <v>75.3</v>
      </c>
      <c r="F38" s="718">
        <f t="shared" si="3"/>
        <v>810.52166999999997</v>
      </c>
      <c r="G38" s="716" t="s">
        <v>347</v>
      </c>
      <c r="H38" s="719">
        <v>3</v>
      </c>
      <c r="I38" s="717" t="str">
        <f>IF('Plot By Plot SoA'!Q40=0,"-",'Plot By Plot SoA'!Q40)</f>
        <v>-</v>
      </c>
      <c r="J38" s="716" t="s">
        <v>362</v>
      </c>
      <c r="K38" s="717" t="str">
        <f>IF('Plot By Plot SoA'!K40=0,"-",'Plot By Plot SoA'!K40)</f>
        <v>Private Front Garden</v>
      </c>
      <c r="L38" s="720">
        <v>97</v>
      </c>
    </row>
    <row r="39" spans="1:25" ht="18" thickBot="1" x14ac:dyDescent="0.4">
      <c r="A39" s="917"/>
      <c r="B39" s="716">
        <v>34</v>
      </c>
      <c r="C39" s="716" t="s">
        <v>15</v>
      </c>
      <c r="D39" s="717" t="s">
        <v>365</v>
      </c>
      <c r="E39" s="716">
        <v>75.3</v>
      </c>
      <c r="F39" s="718">
        <f t="shared" si="3"/>
        <v>810.52166999999997</v>
      </c>
      <c r="G39" s="716" t="s">
        <v>347</v>
      </c>
      <c r="H39" s="719">
        <v>3</v>
      </c>
      <c r="I39" s="717" t="str">
        <f>IF('Plot By Plot SoA'!Q41=0,"-",'Plot By Plot SoA'!Q41)</f>
        <v>-</v>
      </c>
      <c r="J39" s="716" t="s">
        <v>362</v>
      </c>
      <c r="K39" s="717" t="str">
        <f>IF('Plot By Plot SoA'!K41=0,"-",'Plot By Plot SoA'!K41)</f>
        <v>Frontage Amenity</v>
      </c>
      <c r="L39" s="720">
        <v>70</v>
      </c>
      <c r="P39" s="823" t="s">
        <v>68</v>
      </c>
      <c r="Q39" s="824"/>
      <c r="R39" s="824"/>
      <c r="S39" s="825"/>
      <c r="T39" s="2"/>
      <c r="U39" s="795" t="s">
        <v>68</v>
      </c>
      <c r="V39" s="811"/>
      <c r="W39" s="811"/>
      <c r="X39" s="811"/>
      <c r="Y39" s="798"/>
    </row>
    <row r="40" spans="1:25" ht="18" customHeight="1" x14ac:dyDescent="0.35">
      <c r="A40" s="917"/>
      <c r="B40" s="716">
        <v>35</v>
      </c>
      <c r="C40" s="716" t="s">
        <v>15</v>
      </c>
      <c r="D40" s="717" t="s">
        <v>365</v>
      </c>
      <c r="E40" s="716">
        <v>128.5</v>
      </c>
      <c r="F40" s="718">
        <f t="shared" si="3"/>
        <v>1383.1611499999999</v>
      </c>
      <c r="G40" s="716" t="s">
        <v>354</v>
      </c>
      <c r="H40" s="719">
        <v>4</v>
      </c>
      <c r="I40" s="717" t="str">
        <f>IF('Plot By Plot SoA'!Q42=0,"-",'Plot By Plot SoA'!Q42)</f>
        <v>Y</v>
      </c>
      <c r="J40" s="716" t="s">
        <v>361</v>
      </c>
      <c r="K40" s="717" t="str">
        <f>IF('Plot By Plot SoA'!K42=0,"-",'Plot By Plot SoA'!K42)</f>
        <v>Private Front Garden</v>
      </c>
      <c r="L40" s="720">
        <v>130</v>
      </c>
      <c r="P40" s="826" t="s">
        <v>70</v>
      </c>
      <c r="Q40" s="827"/>
      <c r="R40" s="828" t="s">
        <v>69</v>
      </c>
      <c r="S40" s="829"/>
      <c r="T40" s="2"/>
      <c r="U40" s="826" t="s">
        <v>70</v>
      </c>
      <c r="V40" s="830"/>
      <c r="W40" s="827"/>
      <c r="X40" s="831" t="s">
        <v>332</v>
      </c>
      <c r="Y40" s="829"/>
    </row>
    <row r="41" spans="1:25" ht="17.25" x14ac:dyDescent="0.35">
      <c r="A41" s="917"/>
      <c r="B41" s="716">
        <v>36</v>
      </c>
      <c r="C41" s="716" t="s">
        <v>15</v>
      </c>
      <c r="D41" s="717" t="s">
        <v>365</v>
      </c>
      <c r="E41" s="716">
        <v>102.5</v>
      </c>
      <c r="F41" s="718">
        <f t="shared" si="3"/>
        <v>1103.2997499999999</v>
      </c>
      <c r="G41" s="716" t="s">
        <v>348</v>
      </c>
      <c r="H41" s="719">
        <v>3</v>
      </c>
      <c r="I41" s="717" t="str">
        <f>IF('Plot By Plot SoA'!Q43=0,"-",'Plot By Plot SoA'!Q43)</f>
        <v>Y</v>
      </c>
      <c r="J41" s="716" t="s">
        <v>361</v>
      </c>
      <c r="K41" s="717" t="str">
        <f>IF('Plot By Plot SoA'!K43=0,"-",'Plot By Plot SoA'!K43)</f>
        <v>Shared Garden</v>
      </c>
      <c r="L41" s="720" t="s">
        <v>79</v>
      </c>
      <c r="P41" s="818" t="s">
        <v>163</v>
      </c>
      <c r="Q41" s="820"/>
      <c r="R41" s="847">
        <f>'Plot By Plot SoA'!W15</f>
        <v>34</v>
      </c>
      <c r="S41" s="848"/>
      <c r="T41" s="2"/>
      <c r="U41" s="818" t="s">
        <v>151</v>
      </c>
      <c r="V41" s="819"/>
      <c r="W41" s="820"/>
      <c r="X41" s="821">
        <f>'Plot By Plot SoA'!AC15</f>
        <v>9750.6989999999987</v>
      </c>
      <c r="Y41" s="822"/>
    </row>
    <row r="42" spans="1:25" ht="17.25" x14ac:dyDescent="0.35">
      <c r="A42" s="917"/>
      <c r="B42" s="716">
        <v>37</v>
      </c>
      <c r="C42" s="716" t="s">
        <v>15</v>
      </c>
      <c r="D42" s="717" t="s">
        <v>366</v>
      </c>
      <c r="E42" s="721">
        <v>116.7</v>
      </c>
      <c r="F42" s="722">
        <f t="shared" si="3"/>
        <v>1256.1471300000001</v>
      </c>
      <c r="G42" s="716" t="s">
        <v>348</v>
      </c>
      <c r="H42" s="719">
        <v>3</v>
      </c>
      <c r="I42" s="717" t="str">
        <f>IF('Plot By Plot SoA'!Q44=0,"-",'Plot By Plot SoA'!Q44)</f>
        <v>Y</v>
      </c>
      <c r="J42" s="716" t="s">
        <v>361</v>
      </c>
      <c r="K42" s="717" t="str">
        <f>IF('Plot By Plot SoA'!K44=0,"-",'Plot By Plot SoA'!K44)</f>
        <v>Shared Garden</v>
      </c>
      <c r="L42" s="720">
        <v>50</v>
      </c>
      <c r="P42" s="1378" t="s">
        <v>164</v>
      </c>
      <c r="Q42" s="1379"/>
      <c r="R42" s="1371">
        <f>'Plot By Plot SoA'!W16</f>
        <v>9</v>
      </c>
      <c r="S42" s="1372"/>
      <c r="T42" s="2"/>
      <c r="U42" s="1378" t="s">
        <v>224</v>
      </c>
      <c r="V42" s="1388"/>
      <c r="W42" s="1379"/>
      <c r="X42" s="1386">
        <f>'Plot By Plot SoA'!AC16</f>
        <v>24924.857399999997</v>
      </c>
      <c r="Y42" s="1370"/>
    </row>
    <row r="43" spans="1:25" ht="17.25" x14ac:dyDescent="0.35">
      <c r="A43" s="917"/>
      <c r="B43" s="716">
        <v>38</v>
      </c>
      <c r="C43" s="716" t="s">
        <v>346</v>
      </c>
      <c r="D43" s="717" t="s">
        <v>374</v>
      </c>
      <c r="E43" s="716">
        <v>39</v>
      </c>
      <c r="F43" s="718">
        <f t="shared" si="3"/>
        <v>419.7921</v>
      </c>
      <c r="G43" s="716" t="s">
        <v>351</v>
      </c>
      <c r="H43" s="719">
        <v>1</v>
      </c>
      <c r="I43" s="717" t="str">
        <f>IF('Plot By Plot SoA'!Q46=0,"-",'Plot By Plot SoA'!Q46)</f>
        <v>-</v>
      </c>
      <c r="J43" s="716" t="s">
        <v>362</v>
      </c>
      <c r="K43" s="717" t="str">
        <f>IF('Plot By Plot SoA'!K46=0,"-",'Plot By Plot SoA'!K46)</f>
        <v>Frontage Amenity</v>
      </c>
      <c r="L43" s="720">
        <v>169</v>
      </c>
      <c r="P43" s="803" t="s">
        <v>67</v>
      </c>
      <c r="Q43" s="804"/>
      <c r="R43" s="805">
        <f>'Plot By Plot SoA'!W17</f>
        <v>12</v>
      </c>
      <c r="S43" s="806"/>
      <c r="T43" s="2"/>
      <c r="U43" s="803" t="s">
        <v>152</v>
      </c>
      <c r="V43" s="807"/>
      <c r="W43" s="804"/>
      <c r="X43" s="1375">
        <f>'Plot By Plot SoA'!AC17</f>
        <v>4981.0220999999992</v>
      </c>
      <c r="Y43" s="1370"/>
    </row>
    <row r="44" spans="1:25" ht="17.25" x14ac:dyDescent="0.35">
      <c r="A44" s="917"/>
      <c r="B44" s="716">
        <v>39</v>
      </c>
      <c r="C44" s="716" t="s">
        <v>51</v>
      </c>
      <c r="D44" s="717" t="s">
        <v>385</v>
      </c>
      <c r="E44" s="716">
        <v>76.8</v>
      </c>
      <c r="F44" s="718">
        <f t="shared" si="3"/>
        <v>826.66751999999997</v>
      </c>
      <c r="G44" s="716" t="s">
        <v>348</v>
      </c>
      <c r="H44" s="719">
        <v>2</v>
      </c>
      <c r="I44" s="717" t="str">
        <f>IF('Plot By Plot SoA'!Q47=0,"-",'Plot By Plot SoA'!Q47)</f>
        <v>-</v>
      </c>
      <c r="J44" s="716" t="s">
        <v>362</v>
      </c>
      <c r="K44" s="717" t="str">
        <f>IF('Plot By Plot SoA'!K47=0,"-",'Plot By Plot SoA'!K47)</f>
        <v>Roof Terrace</v>
      </c>
      <c r="L44" s="720">
        <v>126</v>
      </c>
      <c r="P44" s="1382" t="s">
        <v>63</v>
      </c>
      <c r="Q44" s="1383"/>
      <c r="R44" s="1369">
        <f>'Plot By Plot SoA'!W18</f>
        <v>61</v>
      </c>
      <c r="S44" s="1370"/>
      <c r="T44" s="2"/>
      <c r="U44" s="1382" t="s">
        <v>153</v>
      </c>
      <c r="V44" s="1390"/>
      <c r="W44" s="1383"/>
      <c r="X44" s="1375">
        <f>'Plot By Plot SoA'!AC18</f>
        <v>1950.1397999999997</v>
      </c>
      <c r="Y44" s="1370"/>
    </row>
    <row r="45" spans="1:25" ht="17.25" x14ac:dyDescent="0.35">
      <c r="A45" s="917"/>
      <c r="B45" s="716">
        <v>40</v>
      </c>
      <c r="C45" s="716" t="s">
        <v>15</v>
      </c>
      <c r="D45" s="717" t="s">
        <v>366</v>
      </c>
      <c r="E45" s="716">
        <v>93.9</v>
      </c>
      <c r="F45" s="718">
        <f t="shared" si="3"/>
        <v>1010.7302100000001</v>
      </c>
      <c r="G45" s="716" t="s">
        <v>352</v>
      </c>
      <c r="H45" s="719">
        <v>3</v>
      </c>
      <c r="I45" s="717" t="str">
        <f>IF('Plot By Plot SoA'!Q48=0,"-",'Plot By Plot SoA'!Q48)</f>
        <v>-</v>
      </c>
      <c r="J45" s="716" t="s">
        <v>362</v>
      </c>
      <c r="K45" s="717" t="str">
        <f>IF('Plot By Plot SoA'!K48=0,"-",'Plot By Plot SoA'!K48)</f>
        <v>Roof Terrace</v>
      </c>
      <c r="L45" s="720">
        <v>82</v>
      </c>
      <c r="P45" s="809" t="s">
        <v>179</v>
      </c>
      <c r="Q45" s="810"/>
      <c r="R45" s="1369">
        <f>'Plot By Plot SoA'!W19</f>
        <v>2</v>
      </c>
      <c r="S45" s="1370"/>
      <c r="T45" s="2"/>
      <c r="U45" s="809" t="s">
        <v>333</v>
      </c>
      <c r="V45" s="791"/>
      <c r="W45" s="810"/>
      <c r="X45" s="1395">
        <f>'Plot By Plot SoA'!AC19</f>
        <v>11883.3642</v>
      </c>
      <c r="Y45" s="1372"/>
    </row>
    <row r="46" spans="1:25" ht="17.25" x14ac:dyDescent="0.35">
      <c r="A46" s="917"/>
      <c r="B46" s="716">
        <v>41</v>
      </c>
      <c r="C46" s="716" t="s">
        <v>51</v>
      </c>
      <c r="D46" s="717" t="s">
        <v>386</v>
      </c>
      <c r="E46" s="716">
        <v>84.1</v>
      </c>
      <c r="F46" s="718">
        <f t="shared" si="3"/>
        <v>905.24398999999994</v>
      </c>
      <c r="G46" s="716" t="s">
        <v>347</v>
      </c>
      <c r="H46" s="719">
        <v>2</v>
      </c>
      <c r="I46" s="717" t="str">
        <f>IF('Plot By Plot SoA'!Q49=0,"-",'Plot By Plot SoA'!Q49)</f>
        <v>-</v>
      </c>
      <c r="J46" s="716" t="s">
        <v>362</v>
      </c>
      <c r="K46" s="717" t="str">
        <f>IF('Plot By Plot SoA'!K49=0,"-",'Plot By Plot SoA'!K49)</f>
        <v>Roof Terrace</v>
      </c>
      <c r="L46" s="720">
        <v>70</v>
      </c>
      <c r="P46" s="1382" t="s">
        <v>66</v>
      </c>
      <c r="Q46" s="1383"/>
      <c r="R46" s="1369">
        <f>'Plot By Plot SoA'!W20</f>
        <v>64</v>
      </c>
      <c r="S46" s="1370"/>
      <c r="T46" s="2"/>
      <c r="U46" s="1380" t="s">
        <v>155</v>
      </c>
      <c r="V46" s="1389"/>
      <c r="W46" s="1381"/>
      <c r="X46" s="1395">
        <f>'Plot By Plot SoA'!AC20</f>
        <v>7357.5881999999992</v>
      </c>
      <c r="Y46" s="1372"/>
    </row>
    <row r="47" spans="1:25" ht="17.25" x14ac:dyDescent="0.35">
      <c r="A47" s="918"/>
      <c r="B47" s="716">
        <v>42</v>
      </c>
      <c r="C47" s="716" t="s">
        <v>51</v>
      </c>
      <c r="D47" s="717" t="s">
        <v>384</v>
      </c>
      <c r="E47" s="716">
        <v>111.6</v>
      </c>
      <c r="F47" s="718">
        <f t="shared" si="3"/>
        <v>1201.2512399999998</v>
      </c>
      <c r="G47" s="716" t="s">
        <v>349</v>
      </c>
      <c r="H47" s="719">
        <v>2</v>
      </c>
      <c r="I47" s="717" t="str">
        <f>IF('Plot By Plot SoA'!Q50=0,"-",'Plot By Plot SoA'!Q50)</f>
        <v>-</v>
      </c>
      <c r="J47" s="716" t="s">
        <v>362</v>
      </c>
      <c r="K47" s="717" t="str">
        <f>IF('Plot By Plot SoA'!K50=0,"-",'Plot By Plot SoA'!K50)</f>
        <v>Community Amenity</v>
      </c>
      <c r="L47" s="720" t="s">
        <v>79</v>
      </c>
      <c r="P47" s="803" t="s">
        <v>64</v>
      </c>
      <c r="Q47" s="804"/>
      <c r="R47" s="1369">
        <f>'Plot By Plot SoA'!W21</f>
        <v>36</v>
      </c>
      <c r="S47" s="1370"/>
      <c r="T47" s="2"/>
      <c r="U47" s="1382" t="s">
        <v>156</v>
      </c>
      <c r="V47" s="1390"/>
      <c r="W47" s="1383"/>
      <c r="X47" s="1395">
        <f>'Plot By Plot SoA'!AC21</f>
        <v>4936.7249999999995</v>
      </c>
      <c r="Y47" s="1372"/>
    </row>
    <row r="48" spans="1:25" ht="17.25" x14ac:dyDescent="0.35">
      <c r="A48" s="919" t="s">
        <v>23</v>
      </c>
      <c r="B48" s="723">
        <v>43</v>
      </c>
      <c r="C48" s="723" t="s">
        <v>346</v>
      </c>
      <c r="D48" s="724" t="s">
        <v>387</v>
      </c>
      <c r="E48" s="725">
        <v>46.9</v>
      </c>
      <c r="F48" s="726">
        <f t="shared" si="3"/>
        <v>504.82690999999994</v>
      </c>
      <c r="G48" s="723" t="s">
        <v>351</v>
      </c>
      <c r="H48" s="727">
        <v>1</v>
      </c>
      <c r="I48" s="724" t="str">
        <f>IF('Plot By Plot SoA'!Q51=0,"-",'Plot By Plot SoA'!Q51)</f>
        <v>-</v>
      </c>
      <c r="J48" s="723" t="s">
        <v>362</v>
      </c>
      <c r="K48" s="724" t="str">
        <f>IF('Plot By Plot SoA'!K51=0,"-",'Plot By Plot SoA'!K51)</f>
        <v>Community Amenity</v>
      </c>
      <c r="L48" s="728" t="s">
        <v>79</v>
      </c>
      <c r="P48" s="1376" t="s">
        <v>218</v>
      </c>
      <c r="Q48" s="1377"/>
      <c r="R48" s="1369">
        <f>'Plot By Plot SoA'!W22</f>
        <v>3</v>
      </c>
      <c r="S48" s="1370"/>
      <c r="T48" s="395"/>
      <c r="U48" s="809" t="s">
        <v>158</v>
      </c>
      <c r="V48" s="791"/>
      <c r="W48" s="810"/>
      <c r="X48" s="1395">
        <f>'Plot By Plot SoA'!AC22</f>
        <v>4794.7608</v>
      </c>
      <c r="Y48" s="1372"/>
    </row>
    <row r="49" spans="1:25" ht="17.25" x14ac:dyDescent="0.35">
      <c r="A49" s="920"/>
      <c r="B49" s="723">
        <v>44</v>
      </c>
      <c r="C49" s="723" t="s">
        <v>51</v>
      </c>
      <c r="D49" s="724" t="s">
        <v>388</v>
      </c>
      <c r="E49" s="725">
        <v>107.6</v>
      </c>
      <c r="F49" s="726">
        <f t="shared" si="3"/>
        <v>1158.1956399999999</v>
      </c>
      <c r="G49" s="723" t="s">
        <v>352</v>
      </c>
      <c r="H49" s="727">
        <v>2</v>
      </c>
      <c r="I49" s="724" t="str">
        <f>IF('Plot By Plot SoA'!Q52=0,"-",'Plot By Plot SoA'!Q52)</f>
        <v>-</v>
      </c>
      <c r="J49" s="723" t="s">
        <v>362</v>
      </c>
      <c r="K49" s="724" t="str">
        <f>IF('Plot By Plot SoA'!K52=0,"-",'Plot By Plot SoA'!K52)</f>
        <v>Community Amenity</v>
      </c>
      <c r="L49" s="728" t="s">
        <v>79</v>
      </c>
      <c r="P49" s="1376" t="s">
        <v>219</v>
      </c>
      <c r="Q49" s="1377"/>
      <c r="R49" s="1369">
        <f>'Plot By Plot SoA'!W23</f>
        <v>4</v>
      </c>
      <c r="S49" s="1370"/>
      <c r="T49" s="2"/>
      <c r="U49" s="1376" t="s">
        <v>63</v>
      </c>
      <c r="V49" s="1387"/>
      <c r="W49" s="1377"/>
      <c r="X49" s="808">
        <f>'Plot By Plot SoA'!AC23</f>
        <v>10148.839199999999</v>
      </c>
      <c r="Y49" s="806"/>
    </row>
    <row r="50" spans="1:25" ht="18" thickBot="1" x14ac:dyDescent="0.4">
      <c r="A50" s="920"/>
      <c r="B50" s="723">
        <v>45</v>
      </c>
      <c r="C50" s="723" t="s">
        <v>346</v>
      </c>
      <c r="D50" s="724" t="s">
        <v>389</v>
      </c>
      <c r="E50" s="725">
        <v>38.5</v>
      </c>
      <c r="F50" s="726">
        <f t="shared" si="3"/>
        <v>414.41014999999999</v>
      </c>
      <c r="G50" s="723" t="s">
        <v>351</v>
      </c>
      <c r="H50" s="727">
        <v>1</v>
      </c>
      <c r="I50" s="724" t="str">
        <f>IF('Plot By Plot SoA'!Q53=0,"-",'Plot By Plot SoA'!Q53)</f>
        <v>-</v>
      </c>
      <c r="J50" s="723" t="s">
        <v>362</v>
      </c>
      <c r="K50" s="724" t="str">
        <f>IF('Plot By Plot SoA'!K53=0,"-",'Plot By Plot SoA'!K53)</f>
        <v>Community Amenity</v>
      </c>
      <c r="L50" s="728" t="s">
        <v>79</v>
      </c>
      <c r="P50" s="1384" t="s">
        <v>65</v>
      </c>
      <c r="Q50" s="1385"/>
      <c r="R50" s="1373">
        <f>'Plot By Plot SoA'!W24</f>
        <v>123</v>
      </c>
      <c r="S50" s="1374"/>
      <c r="T50" s="2"/>
      <c r="U50" s="1391" t="s">
        <v>159</v>
      </c>
      <c r="V50" s="1392"/>
      <c r="W50" s="1393"/>
      <c r="X50" s="1395">
        <f>'Plot By Plot SoA'!AC24</f>
        <v>3779.6633999999995</v>
      </c>
      <c r="Y50" s="1372"/>
    </row>
    <row r="51" spans="1:25" ht="18" thickBot="1" x14ac:dyDescent="0.4">
      <c r="A51" s="920"/>
      <c r="B51" s="723">
        <v>46</v>
      </c>
      <c r="C51" s="723" t="s">
        <v>51</v>
      </c>
      <c r="D51" s="724" t="s">
        <v>390</v>
      </c>
      <c r="E51" s="725">
        <v>75.3</v>
      </c>
      <c r="F51" s="726">
        <f>SUM(E51*10.7639)</f>
        <v>810.52166999999997</v>
      </c>
      <c r="G51" s="723" t="s">
        <v>347</v>
      </c>
      <c r="H51" s="727">
        <v>2</v>
      </c>
      <c r="I51" s="724" t="str">
        <f>IF('Plot By Plot SoA'!Q54=0,"-",'Plot By Plot SoA'!Q54)</f>
        <v>-</v>
      </c>
      <c r="J51" s="723" t="s">
        <v>362</v>
      </c>
      <c r="K51" s="724" t="str">
        <f>IF('Plot By Plot SoA'!K54=0,"-",'Plot By Plot SoA'!K54)</f>
        <v>Community Amenity</v>
      </c>
      <c r="L51" s="728" t="s">
        <v>79</v>
      </c>
      <c r="P51" s="795" t="s">
        <v>52</v>
      </c>
      <c r="Q51" s="796"/>
      <c r="R51" s="797">
        <f>SUM(R39:R50)</f>
        <v>348</v>
      </c>
      <c r="S51" s="798"/>
      <c r="T51" s="395"/>
      <c r="U51" s="1384" t="s">
        <v>65</v>
      </c>
      <c r="V51" s="1394"/>
      <c r="W51" s="1385"/>
      <c r="X51" s="801">
        <f>'Plot By Plot SoA'!AC25</f>
        <v>6380.917199999999</v>
      </c>
      <c r="Y51" s="802"/>
    </row>
    <row r="52" spans="1:25" ht="18" thickBot="1" x14ac:dyDescent="0.4">
      <c r="A52" s="920"/>
      <c r="B52" s="723">
        <v>47</v>
      </c>
      <c r="C52" s="723" t="s">
        <v>51</v>
      </c>
      <c r="D52" s="724" t="s">
        <v>390</v>
      </c>
      <c r="E52" s="725">
        <v>94.3</v>
      </c>
      <c r="F52" s="726">
        <f t="shared" si="3"/>
        <v>1015.03577</v>
      </c>
      <c r="G52" s="723" t="s">
        <v>352</v>
      </c>
      <c r="H52" s="727">
        <v>2</v>
      </c>
      <c r="I52" s="724" t="str">
        <f>IF('Plot By Plot SoA'!Q55=0,"-",'Plot By Plot SoA'!Q55)</f>
        <v>-</v>
      </c>
      <c r="J52" s="723" t="s">
        <v>362</v>
      </c>
      <c r="K52" s="724" t="str">
        <f>IF('Plot By Plot SoA'!K55=0,"-",'Plot By Plot SoA'!K55)</f>
        <v>Community Amenity</v>
      </c>
      <c r="L52" s="728" t="s">
        <v>79</v>
      </c>
      <c r="P52" s="2"/>
      <c r="Q52" s="2"/>
      <c r="R52" s="2"/>
      <c r="S52" s="2"/>
      <c r="T52" s="2"/>
      <c r="U52" s="795" t="s">
        <v>52</v>
      </c>
      <c r="V52" s="811"/>
      <c r="W52" s="796"/>
      <c r="X52" s="812">
        <f>SUM(X41:Y51)</f>
        <v>90888.576300000001</v>
      </c>
      <c r="Y52" s="798"/>
    </row>
    <row r="53" spans="1:25" x14ac:dyDescent="0.35">
      <c r="A53" s="920"/>
      <c r="B53" s="723">
        <v>48</v>
      </c>
      <c r="C53" s="723" t="s">
        <v>15</v>
      </c>
      <c r="D53" s="724" t="s">
        <v>365</v>
      </c>
      <c r="E53" s="725">
        <v>107.5</v>
      </c>
      <c r="F53" s="726">
        <f t="shared" si="3"/>
        <v>1157.11925</v>
      </c>
      <c r="G53" s="723" t="s">
        <v>349</v>
      </c>
      <c r="H53" s="727">
        <v>3</v>
      </c>
      <c r="I53" s="724" t="str">
        <f>IF('Plot By Plot SoA'!Q56=0,"-",'Plot By Plot SoA'!Q56)</f>
        <v>Y</v>
      </c>
      <c r="J53" s="723" t="s">
        <v>361</v>
      </c>
      <c r="K53" s="724" t="str">
        <f>IF('Plot By Plot SoA'!K56=0,"-",'Plot By Plot SoA'!K56)</f>
        <v>Roof Terrace</v>
      </c>
      <c r="L53" s="728">
        <v>277</v>
      </c>
    </row>
    <row r="54" spans="1:25" x14ac:dyDescent="0.35">
      <c r="A54" s="920"/>
      <c r="B54" s="723">
        <v>49</v>
      </c>
      <c r="C54" s="723" t="s">
        <v>15</v>
      </c>
      <c r="D54" s="724" t="s">
        <v>366</v>
      </c>
      <c r="E54" s="725">
        <v>105.1</v>
      </c>
      <c r="F54" s="726">
        <f t="shared" si="3"/>
        <v>1131.2858899999999</v>
      </c>
      <c r="G54" s="723" t="s">
        <v>348</v>
      </c>
      <c r="H54" s="727">
        <v>3</v>
      </c>
      <c r="I54" s="724" t="str">
        <f>IF('Plot By Plot SoA'!Q57=0,"-",'Plot By Plot SoA'!Q57)</f>
        <v>-</v>
      </c>
      <c r="J54" s="723" t="s">
        <v>361</v>
      </c>
      <c r="K54" s="724" t="str">
        <f>IF('Plot By Plot SoA'!K57=0,"-",'Plot By Plot SoA'!K57)</f>
        <v>Roof Terrace</v>
      </c>
      <c r="L54" s="728">
        <v>186</v>
      </c>
    </row>
    <row r="55" spans="1:25" x14ac:dyDescent="0.35">
      <c r="A55" s="920"/>
      <c r="B55" s="723">
        <v>50</v>
      </c>
      <c r="C55" s="723" t="s">
        <v>15</v>
      </c>
      <c r="D55" s="724" t="s">
        <v>366</v>
      </c>
      <c r="E55" s="725">
        <v>129</v>
      </c>
      <c r="F55" s="726">
        <f t="shared" si="3"/>
        <v>1388.5430999999999</v>
      </c>
      <c r="G55" s="723" t="s">
        <v>353</v>
      </c>
      <c r="H55" s="727">
        <v>3</v>
      </c>
      <c r="I55" s="724" t="str">
        <f>IF('Plot By Plot SoA'!Q58=0,"-",'Plot By Plot SoA'!Q58)</f>
        <v>-</v>
      </c>
      <c r="J55" s="723" t="s">
        <v>361</v>
      </c>
      <c r="K55" s="724" t="str">
        <f>IF('Plot By Plot SoA'!K58=0,"-",'Plot By Plot SoA'!K58)</f>
        <v>Roof Terrace</v>
      </c>
      <c r="L55" s="728">
        <v>75</v>
      </c>
    </row>
    <row r="56" spans="1:25" x14ac:dyDescent="0.35">
      <c r="A56" s="920"/>
      <c r="B56" s="723">
        <v>51</v>
      </c>
      <c r="C56" s="723" t="s">
        <v>15</v>
      </c>
      <c r="D56" s="724" t="s">
        <v>365</v>
      </c>
      <c r="E56" s="725">
        <v>101.3</v>
      </c>
      <c r="F56" s="726">
        <f t="shared" si="3"/>
        <v>1090.3830699999999</v>
      </c>
      <c r="G56" s="723" t="s">
        <v>352</v>
      </c>
      <c r="H56" s="727">
        <v>3</v>
      </c>
      <c r="I56" s="724" t="str">
        <f>IF('Plot By Plot SoA'!Q59=0,"-",'Plot By Plot SoA'!Q59)</f>
        <v>-</v>
      </c>
      <c r="J56" s="723" t="s">
        <v>362</v>
      </c>
      <c r="K56" s="724" t="str">
        <f>IF('Plot By Plot SoA'!K59=0,"-",'Plot By Plot SoA'!K59)</f>
        <v>Shared Garden</v>
      </c>
      <c r="L56" s="728" t="s">
        <v>79</v>
      </c>
    </row>
    <row r="57" spans="1:25" ht="30" x14ac:dyDescent="0.35">
      <c r="A57" s="920"/>
      <c r="B57" s="723">
        <v>52</v>
      </c>
      <c r="C57" s="723" t="s">
        <v>15</v>
      </c>
      <c r="D57" s="729" t="s">
        <v>369</v>
      </c>
      <c r="E57" s="725">
        <v>84.8</v>
      </c>
      <c r="F57" s="726">
        <f t="shared" si="3"/>
        <v>912.77871999999991</v>
      </c>
      <c r="G57" s="723" t="s">
        <v>349</v>
      </c>
      <c r="H57" s="727">
        <v>2</v>
      </c>
      <c r="I57" s="724" t="str">
        <f>IF('Plot By Plot SoA'!Q60=0,"-",'Plot By Plot SoA'!Q60)</f>
        <v>-</v>
      </c>
      <c r="J57" s="723" t="s">
        <v>361</v>
      </c>
      <c r="K57" s="724" t="str">
        <f>IF('Plot By Plot SoA'!K60=0,"-",'Plot By Plot SoA'!K60)</f>
        <v>Private Rear Garden</v>
      </c>
      <c r="L57" s="728">
        <v>147</v>
      </c>
    </row>
    <row r="58" spans="1:25" ht="30" x14ac:dyDescent="0.35">
      <c r="A58" s="920"/>
      <c r="B58" s="723">
        <v>53</v>
      </c>
      <c r="C58" s="723" t="s">
        <v>15</v>
      </c>
      <c r="D58" s="729" t="s">
        <v>369</v>
      </c>
      <c r="E58" s="725">
        <v>127.7</v>
      </c>
      <c r="F58" s="726">
        <f t="shared" si="3"/>
        <v>1374.5500299999999</v>
      </c>
      <c r="G58" s="723" t="s">
        <v>350</v>
      </c>
      <c r="H58" s="727">
        <v>3</v>
      </c>
      <c r="I58" s="724" t="str">
        <f>IF('Plot By Plot SoA'!Q61=0,"-",'Plot By Plot SoA'!Q61)</f>
        <v>-</v>
      </c>
      <c r="J58" s="723" t="s">
        <v>361</v>
      </c>
      <c r="K58" s="724" t="str">
        <f>IF('Plot By Plot SoA'!K61=0,"-",'Plot By Plot SoA'!K61)</f>
        <v>Private Rear Garden</v>
      </c>
      <c r="L58" s="728">
        <v>257</v>
      </c>
    </row>
    <row r="59" spans="1:25" ht="30" x14ac:dyDescent="0.35">
      <c r="A59" s="920"/>
      <c r="B59" s="723">
        <v>54</v>
      </c>
      <c r="C59" s="723" t="s">
        <v>15</v>
      </c>
      <c r="D59" s="729" t="s">
        <v>369</v>
      </c>
      <c r="E59" s="725">
        <v>109.2</v>
      </c>
      <c r="F59" s="726">
        <f t="shared" si="3"/>
        <v>1175.41788</v>
      </c>
      <c r="G59" s="723" t="s">
        <v>354</v>
      </c>
      <c r="H59" s="727">
        <v>3</v>
      </c>
      <c r="I59" s="724" t="str">
        <f>IF('Plot By Plot SoA'!Q62=0,"-",'Plot By Plot SoA'!Q62)</f>
        <v>-</v>
      </c>
      <c r="J59" s="723" t="s">
        <v>361</v>
      </c>
      <c r="K59" s="724" t="str">
        <f>IF('Plot By Plot SoA'!K62=0,"-",'Plot By Plot SoA'!K62)</f>
        <v>Private Rear Garden</v>
      </c>
      <c r="L59" s="728">
        <v>551</v>
      </c>
    </row>
    <row r="60" spans="1:25" ht="30" x14ac:dyDescent="0.35">
      <c r="A60" s="920"/>
      <c r="B60" s="723">
        <v>55</v>
      </c>
      <c r="C60" s="723" t="s">
        <v>15</v>
      </c>
      <c r="D60" s="729" t="s">
        <v>369</v>
      </c>
      <c r="E60" s="725">
        <v>100.8</v>
      </c>
      <c r="F60" s="726">
        <f t="shared" si="3"/>
        <v>1085.0011199999999</v>
      </c>
      <c r="G60" s="723" t="s">
        <v>352</v>
      </c>
      <c r="H60" s="727">
        <v>3</v>
      </c>
      <c r="I60" s="724" t="str">
        <f>IF('Plot By Plot SoA'!Q63=0,"-",'Plot By Plot SoA'!Q63)</f>
        <v>Y</v>
      </c>
      <c r="J60" s="723" t="s">
        <v>362</v>
      </c>
      <c r="K60" s="724" t="str">
        <f>IF('Plot By Plot SoA'!K63=0,"-",'Plot By Plot SoA'!K63)</f>
        <v>Roof Terrace</v>
      </c>
      <c r="L60" s="728">
        <v>284</v>
      </c>
    </row>
    <row r="61" spans="1:25" x14ac:dyDescent="0.35">
      <c r="A61" s="920"/>
      <c r="B61" s="723">
        <v>56</v>
      </c>
      <c r="C61" s="723" t="s">
        <v>15</v>
      </c>
      <c r="D61" s="724" t="s">
        <v>365</v>
      </c>
      <c r="E61" s="725">
        <v>97.1</v>
      </c>
      <c r="F61" s="726">
        <f t="shared" si="3"/>
        <v>1045.1746899999998</v>
      </c>
      <c r="G61" s="723" t="s">
        <v>348</v>
      </c>
      <c r="H61" s="727">
        <v>3</v>
      </c>
      <c r="I61" s="724" t="str">
        <f>IF('Plot By Plot SoA'!Q64=0,"-",'Plot By Plot SoA'!Q64)</f>
        <v>-</v>
      </c>
      <c r="J61" s="723" t="s">
        <v>362</v>
      </c>
      <c r="K61" s="724" t="str">
        <f>IF('Plot By Plot SoA'!K64=0,"-",'Plot By Plot SoA'!K64)</f>
        <v>Roof Terrace</v>
      </c>
      <c r="L61" s="728">
        <v>304</v>
      </c>
    </row>
    <row r="62" spans="1:25" x14ac:dyDescent="0.35">
      <c r="A62" s="920"/>
      <c r="B62" s="723">
        <v>57</v>
      </c>
      <c r="C62" s="723" t="s">
        <v>15</v>
      </c>
      <c r="D62" s="724" t="s">
        <v>366</v>
      </c>
      <c r="E62" s="725">
        <v>97.1</v>
      </c>
      <c r="F62" s="726">
        <f t="shared" si="3"/>
        <v>1045.1746899999998</v>
      </c>
      <c r="G62" s="723" t="s">
        <v>348</v>
      </c>
      <c r="H62" s="727">
        <v>3</v>
      </c>
      <c r="I62" s="724" t="str">
        <f>IF('Plot By Plot SoA'!Q65=0,"-",'Plot By Plot SoA'!Q65)</f>
        <v>-</v>
      </c>
      <c r="J62" s="723" t="s">
        <v>362</v>
      </c>
      <c r="K62" s="724" t="str">
        <f>IF('Plot By Plot SoA'!K65=0,"-",'Plot By Plot SoA'!K65)</f>
        <v>Roof Terrace</v>
      </c>
      <c r="L62" s="728">
        <v>79</v>
      </c>
    </row>
    <row r="63" spans="1:25" x14ac:dyDescent="0.35">
      <c r="A63" s="920"/>
      <c r="B63" s="723">
        <v>58</v>
      </c>
      <c r="C63" s="723" t="s">
        <v>51</v>
      </c>
      <c r="D63" s="724" t="s">
        <v>372</v>
      </c>
      <c r="E63" s="725">
        <v>105.6</v>
      </c>
      <c r="F63" s="726">
        <f t="shared" si="3"/>
        <v>1136.6678399999998</v>
      </c>
      <c r="G63" s="723" t="s">
        <v>352</v>
      </c>
      <c r="H63" s="727">
        <v>2</v>
      </c>
      <c r="I63" s="724" t="str">
        <f>IF('Plot By Plot SoA'!Q66=0,"-",'Plot By Plot SoA'!Q66)</f>
        <v>-</v>
      </c>
      <c r="J63" s="723" t="s">
        <v>362</v>
      </c>
      <c r="K63" s="724" t="str">
        <f>IF('Plot By Plot SoA'!K66=0,"-",'Plot By Plot SoA'!K66)</f>
        <v>Community Amenity</v>
      </c>
      <c r="L63" s="728" t="s">
        <v>79</v>
      </c>
    </row>
    <row r="64" spans="1:25" x14ac:dyDescent="0.35">
      <c r="A64" s="920"/>
      <c r="B64" s="723">
        <v>59</v>
      </c>
      <c r="C64" s="723" t="s">
        <v>51</v>
      </c>
      <c r="D64" s="724" t="s">
        <v>372</v>
      </c>
      <c r="E64" s="725">
        <v>96</v>
      </c>
      <c r="F64" s="726">
        <f t="shared" si="3"/>
        <v>1033.3344</v>
      </c>
      <c r="G64" s="723" t="s">
        <v>352</v>
      </c>
      <c r="H64" s="727">
        <v>2</v>
      </c>
      <c r="I64" s="724" t="str">
        <f>IF('Plot By Plot SoA'!Q67=0,"-",'Plot By Plot SoA'!Q67)</f>
        <v>-</v>
      </c>
      <c r="J64" s="723" t="s">
        <v>362</v>
      </c>
      <c r="K64" s="724" t="str">
        <f>IF('Plot By Plot SoA'!K67=0,"-",'Plot By Plot SoA'!K67)</f>
        <v>Community Amenity</v>
      </c>
      <c r="L64" s="728" t="s">
        <v>79</v>
      </c>
    </row>
    <row r="65" spans="1:12" x14ac:dyDescent="0.35">
      <c r="A65" s="920"/>
      <c r="B65" s="723">
        <v>60</v>
      </c>
      <c r="C65" s="723" t="s">
        <v>15</v>
      </c>
      <c r="D65" s="724" t="s">
        <v>366</v>
      </c>
      <c r="E65" s="725">
        <v>106</v>
      </c>
      <c r="F65" s="726">
        <f t="shared" si="3"/>
        <v>1140.9733999999999</v>
      </c>
      <c r="G65" s="723" t="s">
        <v>349</v>
      </c>
      <c r="H65" s="727">
        <v>4</v>
      </c>
      <c r="I65" s="724" t="str">
        <f>IF('Plot By Plot SoA'!Q68=0,"-",'Plot By Plot SoA'!Q68)</f>
        <v>-</v>
      </c>
      <c r="J65" s="723" t="s">
        <v>362</v>
      </c>
      <c r="K65" s="724" t="str">
        <f>IF('Plot By Plot SoA'!K68=0,"-",'Plot By Plot SoA'!K68)</f>
        <v>Frontage Amenity</v>
      </c>
      <c r="L65" s="728">
        <v>123</v>
      </c>
    </row>
    <row r="66" spans="1:12" x14ac:dyDescent="0.35">
      <c r="A66" s="920"/>
      <c r="B66" s="723">
        <v>61</v>
      </c>
      <c r="C66" s="723" t="s">
        <v>51</v>
      </c>
      <c r="D66" s="724" t="s">
        <v>372</v>
      </c>
      <c r="E66" s="725">
        <v>96.7</v>
      </c>
      <c r="F66" s="726">
        <f t="shared" si="3"/>
        <v>1040.86913</v>
      </c>
      <c r="G66" s="723" t="s">
        <v>348</v>
      </c>
      <c r="H66" s="727">
        <v>2</v>
      </c>
      <c r="I66" s="724" t="str">
        <f>IF('Plot By Plot SoA'!Q69=0,"-",'Plot By Plot SoA'!Q69)</f>
        <v>-</v>
      </c>
      <c r="J66" s="723" t="s">
        <v>361</v>
      </c>
      <c r="K66" s="724" t="str">
        <f>IF('Plot By Plot SoA'!K69=0,"-",'Plot By Plot SoA'!K69)</f>
        <v>Community Amenity</v>
      </c>
      <c r="L66" s="728" t="s">
        <v>79</v>
      </c>
    </row>
    <row r="67" spans="1:12" x14ac:dyDescent="0.35">
      <c r="A67" s="920"/>
      <c r="B67" s="723">
        <v>62</v>
      </c>
      <c r="C67" s="723" t="s">
        <v>51</v>
      </c>
      <c r="D67" s="724" t="s">
        <v>372</v>
      </c>
      <c r="E67" s="725">
        <v>104.8</v>
      </c>
      <c r="F67" s="726">
        <f t="shared" si="3"/>
        <v>1128.0567199999998</v>
      </c>
      <c r="G67" s="723" t="s">
        <v>348</v>
      </c>
      <c r="H67" s="727">
        <v>2</v>
      </c>
      <c r="I67" s="724" t="str">
        <f>IF('Plot By Plot SoA'!Q70=0,"-",'Plot By Plot SoA'!Q70)</f>
        <v>-</v>
      </c>
      <c r="J67" s="723" t="s">
        <v>361</v>
      </c>
      <c r="K67" s="724" t="str">
        <f>IF('Plot By Plot SoA'!K70=0,"-",'Plot By Plot SoA'!K70)</f>
        <v>Community Amenity</v>
      </c>
      <c r="L67" s="728" t="s">
        <v>79</v>
      </c>
    </row>
    <row r="68" spans="1:12" x14ac:dyDescent="0.35">
      <c r="A68" s="920"/>
      <c r="B68" s="723">
        <v>63</v>
      </c>
      <c r="C68" s="723" t="s">
        <v>15</v>
      </c>
      <c r="D68" s="724" t="s">
        <v>366</v>
      </c>
      <c r="E68" s="730">
        <v>86</v>
      </c>
      <c r="F68" s="731">
        <f t="shared" si="3"/>
        <v>925.69539999999995</v>
      </c>
      <c r="G68" s="723" t="s">
        <v>349</v>
      </c>
      <c r="H68" s="727">
        <v>4</v>
      </c>
      <c r="I68" s="724" t="str">
        <f>IF('Plot By Plot SoA'!Q71=0,"-",'Plot By Plot SoA'!Q71)</f>
        <v>-</v>
      </c>
      <c r="J68" s="723" t="s">
        <v>362</v>
      </c>
      <c r="K68" s="724" t="str">
        <f>IF('Plot By Plot SoA'!K71=0,"-",'Plot By Plot SoA'!K71)</f>
        <v>Frontage Amenity</v>
      </c>
      <c r="L68" s="728">
        <v>81</v>
      </c>
    </row>
    <row r="69" spans="1:12" x14ac:dyDescent="0.35">
      <c r="A69" s="920"/>
      <c r="B69" s="723">
        <v>64</v>
      </c>
      <c r="C69" s="723" t="s">
        <v>15</v>
      </c>
      <c r="D69" s="724" t="s">
        <v>366</v>
      </c>
      <c r="E69" s="725">
        <v>97.1</v>
      </c>
      <c r="F69" s="726">
        <f t="shared" si="3"/>
        <v>1045.1746899999998</v>
      </c>
      <c r="G69" s="723" t="s">
        <v>348</v>
      </c>
      <c r="H69" s="727">
        <v>3</v>
      </c>
      <c r="I69" s="724" t="str">
        <f>IF('Plot By Plot SoA'!Q73=0,"-",'Plot By Plot SoA'!Q73)</f>
        <v>-</v>
      </c>
      <c r="J69" s="723" t="s">
        <v>361</v>
      </c>
      <c r="K69" s="724" t="str">
        <f>IF('Plot By Plot SoA'!K73=0,"-",'Plot By Plot SoA'!K73)</f>
        <v>Roof Terrace</v>
      </c>
      <c r="L69" s="728">
        <v>79</v>
      </c>
    </row>
    <row r="70" spans="1:12" x14ac:dyDescent="0.35">
      <c r="A70" s="920"/>
      <c r="B70" s="723">
        <v>65</v>
      </c>
      <c r="C70" s="723" t="s">
        <v>15</v>
      </c>
      <c r="D70" s="724" t="s">
        <v>365</v>
      </c>
      <c r="E70" s="725">
        <v>97.1</v>
      </c>
      <c r="F70" s="726">
        <f t="shared" si="3"/>
        <v>1045.1746899999998</v>
      </c>
      <c r="G70" s="723" t="s">
        <v>348</v>
      </c>
      <c r="H70" s="727">
        <v>3</v>
      </c>
      <c r="I70" s="724" t="str">
        <f>IF('Plot By Plot SoA'!Q74=0,"-",'Plot By Plot SoA'!Q74)</f>
        <v>-</v>
      </c>
      <c r="J70" s="723" t="s">
        <v>361</v>
      </c>
      <c r="K70" s="724" t="str">
        <f>IF('Plot By Plot SoA'!K74=0,"-",'Plot By Plot SoA'!K74)</f>
        <v>Roof Terrace</v>
      </c>
      <c r="L70" s="728">
        <v>231</v>
      </c>
    </row>
    <row r="71" spans="1:12" ht="30" x14ac:dyDescent="0.35">
      <c r="A71" s="920"/>
      <c r="B71" s="723">
        <v>66</v>
      </c>
      <c r="C71" s="723" t="s">
        <v>15</v>
      </c>
      <c r="D71" s="729" t="s">
        <v>369</v>
      </c>
      <c r="E71" s="725">
        <v>130</v>
      </c>
      <c r="F71" s="726">
        <f t="shared" si="3"/>
        <v>1399.307</v>
      </c>
      <c r="G71" s="723" t="s">
        <v>350</v>
      </c>
      <c r="H71" s="727">
        <v>3</v>
      </c>
      <c r="I71" s="724" t="str">
        <f>IF('Plot By Plot SoA'!Q75=0,"-",'Plot By Plot SoA'!Q75)</f>
        <v>Y</v>
      </c>
      <c r="J71" s="723" t="s">
        <v>361</v>
      </c>
      <c r="K71" s="724" t="str">
        <f>IF('Plot By Plot SoA'!K75=0,"-",'Plot By Plot SoA'!K75)</f>
        <v>Private Front Garden</v>
      </c>
      <c r="L71" s="728">
        <v>350</v>
      </c>
    </row>
    <row r="72" spans="1:12" x14ac:dyDescent="0.35">
      <c r="A72" s="920"/>
      <c r="B72" s="723">
        <v>67</v>
      </c>
      <c r="C72" s="723" t="s">
        <v>15</v>
      </c>
      <c r="D72" s="724" t="s">
        <v>366</v>
      </c>
      <c r="E72" s="725">
        <v>84.2</v>
      </c>
      <c r="F72" s="726">
        <f t="shared" si="3"/>
        <v>906.32038</v>
      </c>
      <c r="G72" s="723" t="s">
        <v>352</v>
      </c>
      <c r="H72" s="727">
        <v>2</v>
      </c>
      <c r="I72" s="724" t="str">
        <f>IF('Plot By Plot SoA'!Q76=0,"-",'Plot By Plot SoA'!Q76)</f>
        <v>-</v>
      </c>
      <c r="J72" s="723" t="s">
        <v>362</v>
      </c>
      <c r="K72" s="724" t="str">
        <f>IF('Plot By Plot SoA'!K76=0,"-",'Plot By Plot SoA'!K76)</f>
        <v>Private Rear Garden</v>
      </c>
      <c r="L72" s="728">
        <v>128</v>
      </c>
    </row>
    <row r="73" spans="1:12" ht="30" x14ac:dyDescent="0.35">
      <c r="A73" s="920"/>
      <c r="B73" s="723">
        <v>68</v>
      </c>
      <c r="C73" s="723" t="s">
        <v>15</v>
      </c>
      <c r="D73" s="729" t="s">
        <v>369</v>
      </c>
      <c r="E73" s="730">
        <v>92.4</v>
      </c>
      <c r="F73" s="731">
        <f t="shared" si="3"/>
        <v>994.58436000000006</v>
      </c>
      <c r="G73" s="723" t="s">
        <v>348</v>
      </c>
      <c r="H73" s="727">
        <v>3</v>
      </c>
      <c r="I73" s="724" t="str">
        <f>IF('Plot By Plot SoA'!Q77=0,"-",'Plot By Plot SoA'!Q77)</f>
        <v>Y</v>
      </c>
      <c r="J73" s="723" t="s">
        <v>362</v>
      </c>
      <c r="K73" s="724" t="str">
        <f>IF('Plot By Plot SoA'!K77=0,"-",'Plot By Plot SoA'!K77)</f>
        <v>Roof Terrace</v>
      </c>
      <c r="L73" s="728">
        <v>381</v>
      </c>
    </row>
    <row r="74" spans="1:12" ht="30" x14ac:dyDescent="0.35">
      <c r="A74" s="920"/>
      <c r="B74" s="723">
        <v>69</v>
      </c>
      <c r="C74" s="723" t="s">
        <v>15</v>
      </c>
      <c r="D74" s="729" t="s">
        <v>369</v>
      </c>
      <c r="E74" s="730">
        <v>92.4</v>
      </c>
      <c r="F74" s="731">
        <f t="shared" si="3"/>
        <v>994.58436000000006</v>
      </c>
      <c r="G74" s="723" t="s">
        <v>348</v>
      </c>
      <c r="H74" s="727">
        <v>3</v>
      </c>
      <c r="I74" s="724" t="str">
        <f>IF('Plot By Plot SoA'!Q79=0,"-",'Plot By Plot SoA'!Q79)</f>
        <v>Y</v>
      </c>
      <c r="J74" s="723" t="s">
        <v>361</v>
      </c>
      <c r="K74" s="724" t="str">
        <f>IF('Plot By Plot SoA'!K79=0,"-",'Plot By Plot SoA'!K79)</f>
        <v>Roof Terrace</v>
      </c>
      <c r="L74" s="728">
        <v>381</v>
      </c>
    </row>
    <row r="75" spans="1:12" x14ac:dyDescent="0.35">
      <c r="A75" s="920"/>
      <c r="B75" s="723">
        <v>70</v>
      </c>
      <c r="C75" s="723" t="s">
        <v>15</v>
      </c>
      <c r="D75" s="724" t="s">
        <v>365</v>
      </c>
      <c r="E75" s="730">
        <v>94.6</v>
      </c>
      <c r="F75" s="731">
        <f>SUM(E75*10.7639)</f>
        <v>1018.2649399999999</v>
      </c>
      <c r="G75" s="723" t="s">
        <v>352</v>
      </c>
      <c r="H75" s="727">
        <v>3</v>
      </c>
      <c r="I75" s="724" t="str">
        <f>IF('Plot By Plot SoA'!Q81=0,"-",'Plot By Plot SoA'!Q81)</f>
        <v>-</v>
      </c>
      <c r="J75" s="723" t="s">
        <v>361</v>
      </c>
      <c r="K75" s="724" t="str">
        <f>IF('Plot By Plot SoA'!K81=0,"-",'Plot By Plot SoA'!K81)</f>
        <v>Private Front Garden</v>
      </c>
      <c r="L75" s="728">
        <v>485</v>
      </c>
    </row>
    <row r="76" spans="1:12" x14ac:dyDescent="0.35">
      <c r="A76" s="920"/>
      <c r="B76" s="723">
        <v>71</v>
      </c>
      <c r="C76" s="723" t="s">
        <v>15</v>
      </c>
      <c r="D76" s="724" t="s">
        <v>366</v>
      </c>
      <c r="E76" s="725">
        <v>113.8</v>
      </c>
      <c r="F76" s="726">
        <f t="shared" ref="F76:F83" si="5">SUM(E76*10.7639)</f>
        <v>1224.93182</v>
      </c>
      <c r="G76" s="723" t="s">
        <v>352</v>
      </c>
      <c r="H76" s="727">
        <v>3</v>
      </c>
      <c r="I76" s="724" t="str">
        <f>IF('Plot By Plot SoA'!Q84=0,"-",'Plot By Plot SoA'!Q84)</f>
        <v>Y</v>
      </c>
      <c r="J76" s="723" t="s">
        <v>361</v>
      </c>
      <c r="K76" s="724" t="str">
        <f>IF('Plot By Plot SoA'!K84=0,"-",'Plot By Plot SoA'!K84)</f>
        <v>Community Amenity</v>
      </c>
      <c r="L76" s="728" t="s">
        <v>79</v>
      </c>
    </row>
    <row r="77" spans="1:12" x14ac:dyDescent="0.35">
      <c r="A77" s="920"/>
      <c r="B77" s="723">
        <v>72</v>
      </c>
      <c r="C77" s="723" t="s">
        <v>15</v>
      </c>
      <c r="D77" s="724" t="s">
        <v>365</v>
      </c>
      <c r="E77" s="725">
        <v>130</v>
      </c>
      <c r="F77" s="726">
        <f t="shared" si="5"/>
        <v>1399.307</v>
      </c>
      <c r="G77" s="723" t="s">
        <v>350</v>
      </c>
      <c r="H77" s="727">
        <v>3</v>
      </c>
      <c r="I77" s="724" t="str">
        <f>IF('Plot By Plot SoA'!Q85=0,"-",'Plot By Plot SoA'!Q85)</f>
        <v>Y</v>
      </c>
      <c r="J77" s="723" t="s">
        <v>361</v>
      </c>
      <c r="K77" s="724" t="str">
        <f>IF('Plot By Plot SoA'!K85=0,"-",'Plot By Plot SoA'!K85)</f>
        <v>Private Front Garden</v>
      </c>
      <c r="L77" s="728">
        <v>274</v>
      </c>
    </row>
    <row r="78" spans="1:12" x14ac:dyDescent="0.35">
      <c r="A78" s="920"/>
      <c r="B78" s="723">
        <v>73</v>
      </c>
      <c r="C78" s="723" t="s">
        <v>51</v>
      </c>
      <c r="D78" s="724" t="s">
        <v>372</v>
      </c>
      <c r="E78" s="725">
        <v>54.1</v>
      </c>
      <c r="F78" s="726">
        <f t="shared" si="5"/>
        <v>582.32699000000002</v>
      </c>
      <c r="G78" s="723" t="s">
        <v>351</v>
      </c>
      <c r="H78" s="727">
        <v>2</v>
      </c>
      <c r="I78" s="724" t="str">
        <f>IF('Plot By Plot SoA'!Q86=0,"-",'Plot By Plot SoA'!Q86)</f>
        <v>-</v>
      </c>
      <c r="J78" s="723" t="s">
        <v>362</v>
      </c>
      <c r="K78" s="724" t="str">
        <f>IF('Plot By Plot SoA'!K86=0,"-",'Plot By Plot SoA'!K86)</f>
        <v>Frontage Amenity</v>
      </c>
      <c r="L78" s="728">
        <v>176</v>
      </c>
    </row>
    <row r="79" spans="1:12" x14ac:dyDescent="0.35">
      <c r="A79" s="920"/>
      <c r="B79" s="723">
        <v>74</v>
      </c>
      <c r="C79" s="723" t="s">
        <v>51</v>
      </c>
      <c r="D79" s="724" t="s">
        <v>372</v>
      </c>
      <c r="E79" s="725">
        <v>82.4</v>
      </c>
      <c r="F79" s="726">
        <f t="shared" si="5"/>
        <v>886.94536000000005</v>
      </c>
      <c r="G79" s="723" t="s">
        <v>349</v>
      </c>
      <c r="H79" s="727">
        <v>2</v>
      </c>
      <c r="I79" s="724" t="str">
        <f>IF('Plot By Plot SoA'!Q87=0,"-",'Plot By Plot SoA'!Q87)</f>
        <v>-</v>
      </c>
      <c r="J79" s="723" t="s">
        <v>362</v>
      </c>
      <c r="K79" s="724" t="str">
        <f>IF('Plot By Plot SoA'!K87=0,"-",'Plot By Plot SoA'!K87)</f>
        <v>Frontage Amenity</v>
      </c>
      <c r="L79" s="728" t="s">
        <v>79</v>
      </c>
    </row>
    <row r="80" spans="1:12" x14ac:dyDescent="0.35">
      <c r="A80" s="920"/>
      <c r="B80" s="723">
        <v>75</v>
      </c>
      <c r="C80" s="723" t="s">
        <v>51</v>
      </c>
      <c r="D80" s="724" t="s">
        <v>373</v>
      </c>
      <c r="E80" s="725">
        <v>54.1</v>
      </c>
      <c r="F80" s="726">
        <f t="shared" si="5"/>
        <v>582.32699000000002</v>
      </c>
      <c r="G80" s="723" t="s">
        <v>351</v>
      </c>
      <c r="H80" s="727">
        <v>2</v>
      </c>
      <c r="I80" s="724" t="str">
        <f>IF('Plot By Plot SoA'!Q88=0,"-",'Plot By Plot SoA'!Q88)</f>
        <v>-</v>
      </c>
      <c r="J80" s="723" t="s">
        <v>362</v>
      </c>
      <c r="K80" s="724" t="str">
        <f>IF('Plot By Plot SoA'!K88=0,"-",'Plot By Plot SoA'!K88)</f>
        <v>Community Amenity</v>
      </c>
      <c r="L80" s="728" t="s">
        <v>79</v>
      </c>
    </row>
    <row r="81" spans="1:12" x14ac:dyDescent="0.35">
      <c r="A81" s="920"/>
      <c r="B81" s="723">
        <v>76</v>
      </c>
      <c r="C81" s="723" t="s">
        <v>51</v>
      </c>
      <c r="D81" s="724" t="s">
        <v>373</v>
      </c>
      <c r="E81" s="725">
        <v>93.3</v>
      </c>
      <c r="F81" s="726">
        <f t="shared" si="5"/>
        <v>1004.2718699999999</v>
      </c>
      <c r="G81" s="723" t="s">
        <v>352</v>
      </c>
      <c r="H81" s="727">
        <v>2</v>
      </c>
      <c r="I81" s="724" t="str">
        <f>IF('Plot By Plot SoA'!Q89=0,"-",'Plot By Plot SoA'!Q89)</f>
        <v>-</v>
      </c>
      <c r="J81" s="723" t="s">
        <v>362</v>
      </c>
      <c r="K81" s="724" t="str">
        <f>IF('Plot By Plot SoA'!K89=0,"-",'Plot By Plot SoA'!K89)</f>
        <v>Community Amenity</v>
      </c>
      <c r="L81" s="728" t="s">
        <v>79</v>
      </c>
    </row>
    <row r="82" spans="1:12" x14ac:dyDescent="0.35">
      <c r="A82" s="920"/>
      <c r="B82" s="723">
        <v>77</v>
      </c>
      <c r="C82" s="723" t="s">
        <v>51</v>
      </c>
      <c r="D82" s="724" t="s">
        <v>373</v>
      </c>
      <c r="E82" s="725">
        <v>72.7</v>
      </c>
      <c r="F82" s="726">
        <f t="shared" si="5"/>
        <v>782.53552999999999</v>
      </c>
      <c r="G82" s="723" t="s">
        <v>347</v>
      </c>
      <c r="H82" s="727">
        <v>2</v>
      </c>
      <c r="I82" s="724" t="str">
        <f>IF('Plot By Plot SoA'!Q90=0,"-",'Plot By Plot SoA'!Q90)</f>
        <v>-</v>
      </c>
      <c r="J82" s="723" t="s">
        <v>362</v>
      </c>
      <c r="K82" s="724" t="str">
        <f>IF('Plot By Plot SoA'!K90=0,"-",'Plot By Plot SoA'!K90)</f>
        <v>Community Amenity</v>
      </c>
      <c r="L82" s="728" t="s">
        <v>79</v>
      </c>
    </row>
    <row r="83" spans="1:12" x14ac:dyDescent="0.35">
      <c r="A83" s="920"/>
      <c r="B83" s="723">
        <v>78</v>
      </c>
      <c r="C83" s="723" t="s">
        <v>51</v>
      </c>
      <c r="D83" s="724" t="s">
        <v>373</v>
      </c>
      <c r="E83" s="725">
        <v>78.599999999999994</v>
      </c>
      <c r="F83" s="726">
        <f t="shared" si="5"/>
        <v>846.04253999999992</v>
      </c>
      <c r="G83" s="723" t="s">
        <v>347</v>
      </c>
      <c r="H83" s="727">
        <v>2</v>
      </c>
      <c r="I83" s="724" t="str">
        <f>IF('Plot By Plot SoA'!Q91=0,"-",'Plot By Plot SoA'!Q91)</f>
        <v>Y</v>
      </c>
      <c r="J83" s="723" t="s">
        <v>362</v>
      </c>
      <c r="K83" s="724" t="str">
        <f>IF('Plot By Plot SoA'!K91=0,"-",'Plot By Plot SoA'!K91)</f>
        <v>Community Amenity</v>
      </c>
      <c r="L83" s="728" t="s">
        <v>79</v>
      </c>
    </row>
    <row r="84" spans="1:12" x14ac:dyDescent="0.35">
      <c r="A84" s="920"/>
      <c r="B84" s="723">
        <v>79</v>
      </c>
      <c r="C84" s="723" t="s">
        <v>51</v>
      </c>
      <c r="D84" s="724" t="s">
        <v>373</v>
      </c>
      <c r="E84" s="725">
        <v>84.7</v>
      </c>
      <c r="F84" s="726">
        <f>SUM(E84*10.7639)</f>
        <v>911.70232999999996</v>
      </c>
      <c r="G84" s="723" t="s">
        <v>348</v>
      </c>
      <c r="H84" s="727">
        <v>2</v>
      </c>
      <c r="I84" s="724" t="str">
        <f>IF('Plot By Plot SoA'!Q92=0,"-",'Plot By Plot SoA'!Q92)</f>
        <v>-</v>
      </c>
      <c r="J84" s="723" t="s">
        <v>362</v>
      </c>
      <c r="K84" s="724" t="str">
        <f>IF('Plot By Plot SoA'!K92=0,"-",'Plot By Plot SoA'!K92)</f>
        <v>Community Amenity</v>
      </c>
      <c r="L84" s="728" t="s">
        <v>79</v>
      </c>
    </row>
    <row r="85" spans="1:12" x14ac:dyDescent="0.35">
      <c r="A85" s="920"/>
      <c r="B85" s="723">
        <v>80</v>
      </c>
      <c r="C85" s="723" t="s">
        <v>51</v>
      </c>
      <c r="D85" s="724" t="s">
        <v>373</v>
      </c>
      <c r="E85" s="725">
        <v>84.7</v>
      </c>
      <c r="F85" s="726">
        <f>SUM(E85*10.7639)</f>
        <v>911.70232999999996</v>
      </c>
      <c r="G85" s="723" t="s">
        <v>348</v>
      </c>
      <c r="H85" s="727">
        <v>2</v>
      </c>
      <c r="I85" s="724" t="str">
        <f>IF('Plot By Plot SoA'!Q93=0,"-",'Plot By Plot SoA'!Q93)</f>
        <v>-</v>
      </c>
      <c r="J85" s="723" t="s">
        <v>362</v>
      </c>
      <c r="K85" s="724" t="str">
        <f>IF('Plot By Plot SoA'!K93=0,"-",'Plot By Plot SoA'!K93)</f>
        <v>Community Amenity</v>
      </c>
      <c r="L85" s="728" t="s">
        <v>79</v>
      </c>
    </row>
    <row r="86" spans="1:12" x14ac:dyDescent="0.35">
      <c r="A86" s="920"/>
      <c r="B86" s="723">
        <v>81</v>
      </c>
      <c r="C86" s="723" t="s">
        <v>51</v>
      </c>
      <c r="D86" s="724" t="s">
        <v>372</v>
      </c>
      <c r="E86" s="725">
        <v>49.3</v>
      </c>
      <c r="F86" s="726">
        <f t="shared" ref="F86:F121" si="6">SUM(E86*10.7639)</f>
        <v>530.66026999999997</v>
      </c>
      <c r="G86" s="723" t="s">
        <v>351</v>
      </c>
      <c r="H86" s="727">
        <v>2</v>
      </c>
      <c r="I86" s="724" t="str">
        <f>IF('Plot By Plot SoA'!Q94=0,"-",'Plot By Plot SoA'!Q94)</f>
        <v>-</v>
      </c>
      <c r="J86" s="723" t="s">
        <v>362</v>
      </c>
      <c r="K86" s="724" t="str">
        <f>IF('Plot By Plot SoA'!K94=0,"-",'Plot By Plot SoA'!K94)</f>
        <v>Community Amenity</v>
      </c>
      <c r="L86" s="728" t="s">
        <v>79</v>
      </c>
    </row>
    <row r="87" spans="1:12" x14ac:dyDescent="0.35">
      <c r="A87" s="920"/>
      <c r="B87" s="723">
        <v>82</v>
      </c>
      <c r="C87" s="723" t="s">
        <v>51</v>
      </c>
      <c r="D87" s="724" t="s">
        <v>372</v>
      </c>
      <c r="E87" s="725">
        <v>72.7</v>
      </c>
      <c r="F87" s="726">
        <f t="shared" si="6"/>
        <v>782.53552999999999</v>
      </c>
      <c r="G87" s="723" t="s">
        <v>347</v>
      </c>
      <c r="H87" s="727">
        <v>2</v>
      </c>
      <c r="I87" s="724" t="str">
        <f>IF('Plot By Plot SoA'!Q95=0,"-",'Plot By Plot SoA'!Q95)</f>
        <v>-</v>
      </c>
      <c r="J87" s="723" t="s">
        <v>362</v>
      </c>
      <c r="K87" s="724" t="str">
        <f>IF('Plot By Plot SoA'!K95=0,"-",'Plot By Plot SoA'!K95)</f>
        <v>Frontage Amenity</v>
      </c>
      <c r="L87" s="728">
        <v>70</v>
      </c>
    </row>
    <row r="88" spans="1:12" x14ac:dyDescent="0.35">
      <c r="A88" s="920"/>
      <c r="B88" s="723">
        <v>83</v>
      </c>
      <c r="C88" s="723" t="s">
        <v>15</v>
      </c>
      <c r="D88" s="724" t="s">
        <v>366</v>
      </c>
      <c r="E88" s="725">
        <v>78</v>
      </c>
      <c r="F88" s="726">
        <f t="shared" si="6"/>
        <v>839.58420000000001</v>
      </c>
      <c r="G88" s="723" t="s">
        <v>349</v>
      </c>
      <c r="H88" s="727">
        <v>2</v>
      </c>
      <c r="I88" s="724" t="str">
        <f>IF('Plot By Plot SoA'!Q96=0,"-",'Plot By Plot SoA'!Q96)</f>
        <v>-</v>
      </c>
      <c r="J88" s="723" t="s">
        <v>362</v>
      </c>
      <c r="K88" s="724" t="str">
        <f>IF('Plot By Plot SoA'!K96=0,"-",'Plot By Plot SoA'!K96)</f>
        <v>Frontage Amenity</v>
      </c>
      <c r="L88" s="728">
        <v>70</v>
      </c>
    </row>
    <row r="89" spans="1:12" x14ac:dyDescent="0.35">
      <c r="A89" s="920"/>
      <c r="B89" s="723">
        <v>84</v>
      </c>
      <c r="C89" s="723" t="s">
        <v>15</v>
      </c>
      <c r="D89" s="724" t="s">
        <v>366</v>
      </c>
      <c r="E89" s="725">
        <v>90.2</v>
      </c>
      <c r="F89" s="726">
        <f t="shared" si="6"/>
        <v>970.90377999999998</v>
      </c>
      <c r="G89" s="723" t="s">
        <v>349</v>
      </c>
      <c r="H89" s="727">
        <v>2</v>
      </c>
      <c r="I89" s="724" t="str">
        <f>IF('Plot By Plot SoA'!Q97=0,"-",'Plot By Plot SoA'!Q97)</f>
        <v>-</v>
      </c>
      <c r="J89" s="723" t="s">
        <v>362</v>
      </c>
      <c r="K89" s="724" t="str">
        <f>IF('Plot By Plot SoA'!K97=0,"-",'Plot By Plot SoA'!K97)</f>
        <v>Frontage Amenity</v>
      </c>
      <c r="L89" s="728">
        <v>70</v>
      </c>
    </row>
    <row r="90" spans="1:12" x14ac:dyDescent="0.35">
      <c r="A90" s="920"/>
      <c r="B90" s="723">
        <v>85</v>
      </c>
      <c r="C90" s="723" t="s">
        <v>15</v>
      </c>
      <c r="D90" s="724" t="s">
        <v>366</v>
      </c>
      <c r="E90" s="725">
        <v>78</v>
      </c>
      <c r="F90" s="726">
        <f t="shared" si="6"/>
        <v>839.58420000000001</v>
      </c>
      <c r="G90" s="723" t="s">
        <v>349</v>
      </c>
      <c r="H90" s="727">
        <v>2</v>
      </c>
      <c r="I90" s="724" t="str">
        <f>IF('Plot By Plot SoA'!Q98=0,"-",'Plot By Plot SoA'!Q98)</f>
        <v>-</v>
      </c>
      <c r="J90" s="723" t="s">
        <v>362</v>
      </c>
      <c r="K90" s="724" t="str">
        <f>IF('Plot By Plot SoA'!K98=0,"-",'Plot By Plot SoA'!K98)</f>
        <v>Frontage Amenity</v>
      </c>
      <c r="L90" s="728">
        <v>70</v>
      </c>
    </row>
    <row r="91" spans="1:12" x14ac:dyDescent="0.35">
      <c r="A91" s="921"/>
      <c r="B91" s="723">
        <v>86</v>
      </c>
      <c r="C91" s="723" t="s">
        <v>15</v>
      </c>
      <c r="D91" s="724" t="s">
        <v>366</v>
      </c>
      <c r="E91" s="725">
        <v>78</v>
      </c>
      <c r="F91" s="726">
        <f t="shared" si="6"/>
        <v>839.58420000000001</v>
      </c>
      <c r="G91" s="723" t="s">
        <v>349</v>
      </c>
      <c r="H91" s="727">
        <v>2</v>
      </c>
      <c r="I91" s="724" t="str">
        <f>IF('Plot By Plot SoA'!Q99=0,"-",'Plot By Plot SoA'!Q99)</f>
        <v>-</v>
      </c>
      <c r="J91" s="723" t="s">
        <v>362</v>
      </c>
      <c r="K91" s="724" t="str">
        <f>IF('Plot By Plot SoA'!K99=0,"-",'Plot By Plot SoA'!K99)</f>
        <v>Frontage Amenity</v>
      </c>
      <c r="L91" s="728">
        <v>70</v>
      </c>
    </row>
    <row r="92" spans="1:12" x14ac:dyDescent="0.35">
      <c r="A92" s="849" t="s">
        <v>123</v>
      </c>
      <c r="B92" s="732">
        <v>87</v>
      </c>
      <c r="C92" s="732" t="s">
        <v>15</v>
      </c>
      <c r="D92" s="733" t="s">
        <v>365</v>
      </c>
      <c r="E92" s="734">
        <v>99.1</v>
      </c>
      <c r="F92" s="735">
        <f t="shared" si="6"/>
        <v>1066.7024899999999</v>
      </c>
      <c r="G92" s="732" t="s">
        <v>352</v>
      </c>
      <c r="H92" s="736">
        <v>3</v>
      </c>
      <c r="I92" s="733" t="str">
        <f>IF('Plot By Plot SoA'!Q100=0,"-",'Plot By Plot SoA'!Q100)</f>
        <v>-</v>
      </c>
      <c r="J92" s="732" t="s">
        <v>361</v>
      </c>
      <c r="K92" s="733" t="str">
        <f>IF('Plot By Plot SoA'!K100=0,"-",'Plot By Plot SoA'!K100)</f>
        <v>Private Front Garden</v>
      </c>
      <c r="L92" s="737">
        <v>263</v>
      </c>
    </row>
    <row r="93" spans="1:12" x14ac:dyDescent="0.35">
      <c r="A93" s="850"/>
      <c r="B93" s="732">
        <v>88</v>
      </c>
      <c r="C93" s="732" t="s">
        <v>15</v>
      </c>
      <c r="D93" s="733" t="s">
        <v>366</v>
      </c>
      <c r="E93" s="734">
        <v>131.4</v>
      </c>
      <c r="F93" s="735">
        <f t="shared" si="6"/>
        <v>1414.37646</v>
      </c>
      <c r="G93" s="732" t="s">
        <v>355</v>
      </c>
      <c r="H93" s="736">
        <v>3</v>
      </c>
      <c r="I93" s="733" t="str">
        <f>IF('Plot By Plot SoA'!Q102=0,"-",'Plot By Plot SoA'!Q102)</f>
        <v>Y</v>
      </c>
      <c r="J93" s="732" t="s">
        <v>361</v>
      </c>
      <c r="K93" s="733" t="str">
        <f>IF('Plot By Plot SoA'!K102=0,"-",'Plot By Plot SoA'!K102)</f>
        <v>Private Rear Garden</v>
      </c>
      <c r="L93" s="737">
        <v>477</v>
      </c>
    </row>
    <row r="94" spans="1:12" x14ac:dyDescent="0.35">
      <c r="A94" s="850"/>
      <c r="B94" s="732">
        <v>89</v>
      </c>
      <c r="C94" s="732" t="s">
        <v>15</v>
      </c>
      <c r="D94" s="733" t="s">
        <v>365</v>
      </c>
      <c r="E94" s="738">
        <v>131.4</v>
      </c>
      <c r="F94" s="739">
        <f t="shared" si="6"/>
        <v>1414.37646</v>
      </c>
      <c r="G94" s="732" t="s">
        <v>355</v>
      </c>
      <c r="H94" s="736">
        <v>3</v>
      </c>
      <c r="I94" s="733" t="str">
        <f>IF('Plot By Plot SoA'!Q104=0,"-",'Plot By Plot SoA'!Q104)</f>
        <v>Y</v>
      </c>
      <c r="J94" s="732" t="s">
        <v>361</v>
      </c>
      <c r="K94" s="733" t="str">
        <f>IF('Plot By Plot SoA'!K104=0,"-",'Plot By Plot SoA'!K104)</f>
        <v>Private Front Garden</v>
      </c>
      <c r="L94" s="737">
        <v>144</v>
      </c>
    </row>
    <row r="95" spans="1:12" x14ac:dyDescent="0.35">
      <c r="A95" s="850"/>
      <c r="B95" s="732">
        <v>90</v>
      </c>
      <c r="C95" s="732" t="s">
        <v>15</v>
      </c>
      <c r="D95" s="733" t="s">
        <v>365</v>
      </c>
      <c r="E95" s="738">
        <v>77.099999999999994</v>
      </c>
      <c r="F95" s="739">
        <f t="shared" si="6"/>
        <v>829.89668999999992</v>
      </c>
      <c r="G95" s="732" t="s">
        <v>347</v>
      </c>
      <c r="H95" s="736">
        <v>3</v>
      </c>
      <c r="I95" s="733" t="str">
        <f>IF('Plot By Plot SoA'!Q105=0,"-",'Plot By Plot SoA'!Q105)</f>
        <v>-</v>
      </c>
      <c r="J95" s="732" t="s">
        <v>361</v>
      </c>
      <c r="K95" s="733" t="str">
        <f>IF('Plot By Plot SoA'!K105=0,"-",'Plot By Plot SoA'!K105)</f>
        <v>Private Front Garden</v>
      </c>
      <c r="L95" s="737">
        <v>99</v>
      </c>
    </row>
    <row r="96" spans="1:12" x14ac:dyDescent="0.35">
      <c r="A96" s="850"/>
      <c r="B96" s="732">
        <v>91</v>
      </c>
      <c r="C96" s="732" t="s">
        <v>15</v>
      </c>
      <c r="D96" s="733" t="s">
        <v>366</v>
      </c>
      <c r="E96" s="738">
        <v>70</v>
      </c>
      <c r="F96" s="739">
        <f>SUM(E96*10.7639)</f>
        <v>753.47299999999996</v>
      </c>
      <c r="G96" s="732" t="s">
        <v>347</v>
      </c>
      <c r="H96" s="736">
        <v>3</v>
      </c>
      <c r="I96" s="733" t="str">
        <f>IF('Plot By Plot SoA'!Q106=0,"-",'Plot By Plot SoA'!Q106)</f>
        <v>-</v>
      </c>
      <c r="J96" s="732" t="s">
        <v>361</v>
      </c>
      <c r="K96" s="733" t="str">
        <f>IF('Plot By Plot SoA'!K106=0,"-",'Plot By Plot SoA'!K106)</f>
        <v>Private Front Garden</v>
      </c>
      <c r="L96" s="737">
        <v>96</v>
      </c>
    </row>
    <row r="97" spans="1:12" x14ac:dyDescent="0.35">
      <c r="A97" s="850"/>
      <c r="B97" s="732">
        <v>92</v>
      </c>
      <c r="C97" s="732" t="s">
        <v>15</v>
      </c>
      <c r="D97" s="733" t="s">
        <v>366</v>
      </c>
      <c r="E97" s="738">
        <v>70</v>
      </c>
      <c r="F97" s="739">
        <f t="shared" si="6"/>
        <v>753.47299999999996</v>
      </c>
      <c r="G97" s="732" t="s">
        <v>347</v>
      </c>
      <c r="H97" s="736">
        <v>3</v>
      </c>
      <c r="I97" s="733" t="str">
        <f>IF('Plot By Plot SoA'!Q107=0,"-",'Plot By Plot SoA'!Q107)</f>
        <v>-</v>
      </c>
      <c r="J97" s="732" t="s">
        <v>361</v>
      </c>
      <c r="K97" s="733" t="str">
        <f>IF('Plot By Plot SoA'!K107=0,"-",'Plot By Plot SoA'!K107)</f>
        <v>Private Front Garden</v>
      </c>
      <c r="L97" s="737">
        <v>93</v>
      </c>
    </row>
    <row r="98" spans="1:12" x14ac:dyDescent="0.35">
      <c r="A98" s="850"/>
      <c r="B98" s="732">
        <v>93</v>
      </c>
      <c r="C98" s="732" t="s">
        <v>15</v>
      </c>
      <c r="D98" s="733" t="s">
        <v>365</v>
      </c>
      <c r="E98" s="738">
        <v>76.599999999999994</v>
      </c>
      <c r="F98" s="739">
        <f t="shared" si="6"/>
        <v>824.51473999999996</v>
      </c>
      <c r="G98" s="732" t="s">
        <v>347</v>
      </c>
      <c r="H98" s="736">
        <v>2</v>
      </c>
      <c r="I98" s="733" t="str">
        <f>IF('Plot By Plot SoA'!Q108=0,"-",'Plot By Plot SoA'!Q108)</f>
        <v>Y</v>
      </c>
      <c r="J98" s="732" t="s">
        <v>361</v>
      </c>
      <c r="K98" s="733" t="str">
        <f>IF('Plot By Plot SoA'!K108=0,"-",'Plot By Plot SoA'!K108)</f>
        <v>Community Amenity</v>
      </c>
      <c r="L98" s="737" t="s">
        <v>79</v>
      </c>
    </row>
    <row r="99" spans="1:12" x14ac:dyDescent="0.35">
      <c r="A99" s="850"/>
      <c r="B99" s="732">
        <v>94</v>
      </c>
      <c r="C99" s="732" t="s">
        <v>15</v>
      </c>
      <c r="D99" s="733" t="s">
        <v>365</v>
      </c>
      <c r="E99" s="734">
        <v>74.2</v>
      </c>
      <c r="F99" s="735">
        <f t="shared" si="6"/>
        <v>798.68137999999999</v>
      </c>
      <c r="G99" s="732" t="s">
        <v>347</v>
      </c>
      <c r="H99" s="736">
        <v>2</v>
      </c>
      <c r="I99" s="733" t="str">
        <f>IF('Plot By Plot SoA'!Q109=0,"-",'Plot By Plot SoA'!Q109)</f>
        <v>-</v>
      </c>
      <c r="J99" s="732" t="s">
        <v>362</v>
      </c>
      <c r="K99" s="733" t="str">
        <f>IF('Plot By Plot SoA'!K109=0,"-",'Plot By Plot SoA'!K109)</f>
        <v>Frontage Amenity</v>
      </c>
      <c r="L99" s="737">
        <v>123</v>
      </c>
    </row>
    <row r="100" spans="1:12" x14ac:dyDescent="0.35">
      <c r="A100" s="850"/>
      <c r="B100" s="732">
        <v>95</v>
      </c>
      <c r="C100" s="732" t="s">
        <v>15</v>
      </c>
      <c r="D100" s="733" t="s">
        <v>366</v>
      </c>
      <c r="E100" s="738">
        <v>80.3</v>
      </c>
      <c r="F100" s="739">
        <f t="shared" si="6"/>
        <v>864.34116999999992</v>
      </c>
      <c r="G100" s="732" t="s">
        <v>349</v>
      </c>
      <c r="H100" s="736">
        <v>2</v>
      </c>
      <c r="I100" s="733" t="str">
        <f>IF('Plot By Plot SoA'!Q111=0,"-",'Plot By Plot SoA'!Q111)</f>
        <v>-</v>
      </c>
      <c r="J100" s="732" t="s">
        <v>361</v>
      </c>
      <c r="K100" s="733" t="str">
        <f>IF('Plot By Plot SoA'!K111=0,"-",'Plot By Plot SoA'!K111)</f>
        <v>Frontage Amenity</v>
      </c>
      <c r="L100" s="737">
        <v>108</v>
      </c>
    </row>
    <row r="101" spans="1:12" x14ac:dyDescent="0.35">
      <c r="A101" s="850"/>
      <c r="B101" s="732">
        <v>96</v>
      </c>
      <c r="C101" s="732" t="s">
        <v>15</v>
      </c>
      <c r="D101" s="733" t="s">
        <v>365</v>
      </c>
      <c r="E101" s="734">
        <v>81</v>
      </c>
      <c r="F101" s="735">
        <f t="shared" si="6"/>
        <v>871.8759</v>
      </c>
      <c r="G101" s="732" t="s">
        <v>352</v>
      </c>
      <c r="H101" s="736">
        <v>3</v>
      </c>
      <c r="I101" s="733" t="str">
        <f>IF('Plot By Plot SoA'!Q112=0,"-",'Plot By Plot SoA'!Q112)</f>
        <v>-</v>
      </c>
      <c r="J101" s="732" t="s">
        <v>360</v>
      </c>
      <c r="K101" s="733" t="str">
        <f>IF('Plot By Plot SoA'!K112=0,"-",'Plot By Plot SoA'!K112)</f>
        <v>Roof Terrace</v>
      </c>
      <c r="L101" s="737">
        <v>356</v>
      </c>
    </row>
    <row r="102" spans="1:12" ht="30" x14ac:dyDescent="0.35">
      <c r="A102" s="850"/>
      <c r="B102" s="732">
        <v>97</v>
      </c>
      <c r="C102" s="732" t="s">
        <v>15</v>
      </c>
      <c r="D102" s="740" t="s">
        <v>369</v>
      </c>
      <c r="E102" s="734">
        <v>93.4</v>
      </c>
      <c r="F102" s="735">
        <f t="shared" si="6"/>
        <v>1005.34826</v>
      </c>
      <c r="G102" s="732" t="s">
        <v>352</v>
      </c>
      <c r="H102" s="736">
        <v>3</v>
      </c>
      <c r="I102" s="733" t="str">
        <f>IF('Plot By Plot SoA'!Q114=0,"-",'Plot By Plot SoA'!Q114)</f>
        <v>-</v>
      </c>
      <c r="J102" s="732" t="s">
        <v>360</v>
      </c>
      <c r="K102" s="733" t="str">
        <f>IF('Plot By Plot SoA'!K114=0,"-",'Plot By Plot SoA'!K114)</f>
        <v>Roof Terrace</v>
      </c>
      <c r="L102" s="737">
        <v>489</v>
      </c>
    </row>
    <row r="103" spans="1:12" x14ac:dyDescent="0.35">
      <c r="A103" s="850"/>
      <c r="B103" s="732">
        <v>98</v>
      </c>
      <c r="C103" s="732" t="s">
        <v>15</v>
      </c>
      <c r="D103" s="733" t="s">
        <v>370</v>
      </c>
      <c r="E103" s="734">
        <v>179.6</v>
      </c>
      <c r="F103" s="735">
        <f t="shared" si="6"/>
        <v>1933.1964399999999</v>
      </c>
      <c r="G103" s="732" t="s">
        <v>350</v>
      </c>
      <c r="H103" s="736">
        <v>4</v>
      </c>
      <c r="I103" s="733" t="str">
        <f>IF('Plot By Plot SoA'!Q117=0,"-",'Plot By Plot SoA'!Q117)</f>
        <v>Y</v>
      </c>
      <c r="J103" s="732" t="s">
        <v>361</v>
      </c>
      <c r="K103" s="733" t="str">
        <f>IF('Plot By Plot SoA'!K117=0,"-",'Plot By Plot SoA'!K117)</f>
        <v>Private Rear Garden</v>
      </c>
      <c r="L103" s="737">
        <v>410</v>
      </c>
    </row>
    <row r="104" spans="1:12" x14ac:dyDescent="0.35">
      <c r="A104" s="850"/>
      <c r="B104" s="732">
        <v>99</v>
      </c>
      <c r="C104" s="732" t="s">
        <v>15</v>
      </c>
      <c r="D104" s="733" t="s">
        <v>365</v>
      </c>
      <c r="E104" s="734">
        <v>83.1</v>
      </c>
      <c r="F104" s="735">
        <f t="shared" si="6"/>
        <v>894.4800899999999</v>
      </c>
      <c r="G104" s="732" t="s">
        <v>348</v>
      </c>
      <c r="H104" s="736">
        <v>3</v>
      </c>
      <c r="I104" s="733" t="str">
        <f>IF('Plot By Plot SoA'!Q119=0,"-",'Plot By Plot SoA'!Q119)</f>
        <v>-</v>
      </c>
      <c r="J104" s="732" t="s">
        <v>360</v>
      </c>
      <c r="K104" s="733" t="str">
        <f>IF('Plot By Plot SoA'!K119=0,"-",'Plot By Plot SoA'!K119)</f>
        <v>Roof Terrace</v>
      </c>
      <c r="L104" s="737">
        <v>188</v>
      </c>
    </row>
    <row r="105" spans="1:12" x14ac:dyDescent="0.35">
      <c r="A105" s="850"/>
      <c r="B105" s="732">
        <v>100</v>
      </c>
      <c r="C105" s="732" t="s">
        <v>15</v>
      </c>
      <c r="D105" s="733" t="s">
        <v>366</v>
      </c>
      <c r="E105" s="738">
        <v>95</v>
      </c>
      <c r="F105" s="739">
        <f t="shared" si="6"/>
        <v>1022.5704999999999</v>
      </c>
      <c r="G105" s="732" t="s">
        <v>349</v>
      </c>
      <c r="H105" s="736">
        <v>3</v>
      </c>
      <c r="I105" s="733" t="str">
        <f>IF('Plot By Plot SoA'!Q121=0,"-",'Plot By Plot SoA'!Q121)</f>
        <v>-</v>
      </c>
      <c r="J105" s="732" t="s">
        <v>361</v>
      </c>
      <c r="K105" s="733" t="str">
        <f>IF('Plot By Plot SoA'!K121=0,"-",'Plot By Plot SoA'!K121)</f>
        <v>Private Front Garden</v>
      </c>
      <c r="L105" s="737">
        <v>98</v>
      </c>
    </row>
    <row r="106" spans="1:12" x14ac:dyDescent="0.35">
      <c r="A106" s="850"/>
      <c r="B106" s="732">
        <v>101</v>
      </c>
      <c r="C106" s="732" t="s">
        <v>15</v>
      </c>
      <c r="D106" s="733" t="s">
        <v>366</v>
      </c>
      <c r="E106" s="738">
        <v>95</v>
      </c>
      <c r="F106" s="739">
        <f t="shared" si="6"/>
        <v>1022.5704999999999</v>
      </c>
      <c r="G106" s="732" t="s">
        <v>349</v>
      </c>
      <c r="H106" s="736">
        <v>3</v>
      </c>
      <c r="I106" s="733" t="str">
        <f>IF('Plot By Plot SoA'!Q122=0,"-",'Plot By Plot SoA'!Q122)</f>
        <v>-</v>
      </c>
      <c r="J106" s="732" t="s">
        <v>361</v>
      </c>
      <c r="K106" s="733" t="str">
        <f>IF('Plot By Plot SoA'!K122=0,"-",'Plot By Plot SoA'!K122)</f>
        <v>Private Front Garden</v>
      </c>
      <c r="L106" s="737">
        <v>98</v>
      </c>
    </row>
    <row r="107" spans="1:12" x14ac:dyDescent="0.35">
      <c r="A107" s="850"/>
      <c r="B107" s="732">
        <v>102</v>
      </c>
      <c r="C107" s="732" t="s">
        <v>15</v>
      </c>
      <c r="D107" s="733" t="s">
        <v>366</v>
      </c>
      <c r="E107" s="734">
        <v>83.1</v>
      </c>
      <c r="F107" s="735">
        <f t="shared" si="6"/>
        <v>894.4800899999999</v>
      </c>
      <c r="G107" s="732" t="s">
        <v>348</v>
      </c>
      <c r="H107" s="736">
        <v>3</v>
      </c>
      <c r="I107" s="733" t="str">
        <f>IF('Plot By Plot SoA'!Q123=0,"-",'Plot By Plot SoA'!Q123)</f>
        <v>-</v>
      </c>
      <c r="J107" s="732" t="s">
        <v>360</v>
      </c>
      <c r="K107" s="733" t="str">
        <f>IF('Plot By Plot SoA'!K123=0,"-",'Plot By Plot SoA'!K123)</f>
        <v>Roof Terrace</v>
      </c>
      <c r="L107" s="737">
        <v>188</v>
      </c>
    </row>
    <row r="108" spans="1:12" x14ac:dyDescent="0.35">
      <c r="A108" s="850"/>
      <c r="B108" s="732">
        <v>103</v>
      </c>
      <c r="C108" s="732" t="s">
        <v>15</v>
      </c>
      <c r="D108" s="733" t="s">
        <v>365</v>
      </c>
      <c r="E108" s="738">
        <v>103.6</v>
      </c>
      <c r="F108" s="739">
        <f t="shared" si="6"/>
        <v>1115.14004</v>
      </c>
      <c r="G108" s="732" t="s">
        <v>352</v>
      </c>
      <c r="H108" s="736">
        <v>3</v>
      </c>
      <c r="I108" s="733" t="str">
        <f>IF('Plot By Plot SoA'!Q125=0,"-",'Plot By Plot SoA'!Q125)</f>
        <v>-</v>
      </c>
      <c r="J108" s="732" t="s">
        <v>361</v>
      </c>
      <c r="K108" s="733" t="str">
        <f>IF('Plot By Plot SoA'!K125=0,"-",'Plot By Plot SoA'!K125)</f>
        <v>Roof Terrace</v>
      </c>
      <c r="L108" s="737">
        <v>316</v>
      </c>
    </row>
    <row r="109" spans="1:12" x14ac:dyDescent="0.35">
      <c r="A109" s="850"/>
      <c r="B109" s="732">
        <v>104</v>
      </c>
      <c r="C109" s="732" t="s">
        <v>15</v>
      </c>
      <c r="D109" s="733" t="s">
        <v>365</v>
      </c>
      <c r="E109" s="738">
        <v>94.4</v>
      </c>
      <c r="F109" s="739">
        <f t="shared" si="6"/>
        <v>1016.11216</v>
      </c>
      <c r="G109" s="732" t="s">
        <v>349</v>
      </c>
      <c r="H109" s="736">
        <v>2</v>
      </c>
      <c r="I109" s="733" t="str">
        <f>IF('Plot By Plot SoA'!Q126=0,"-",'Plot By Plot SoA'!Q126)</f>
        <v>-</v>
      </c>
      <c r="J109" s="732" t="s">
        <v>361</v>
      </c>
      <c r="K109" s="733" t="str">
        <f>IF('Plot By Plot SoA'!K126=0,"-",'Plot By Plot SoA'!K126)</f>
        <v>Community Amenity</v>
      </c>
      <c r="L109" s="737" t="s">
        <v>79</v>
      </c>
    </row>
    <row r="110" spans="1:12" x14ac:dyDescent="0.35">
      <c r="A110" s="850"/>
      <c r="B110" s="732">
        <v>105</v>
      </c>
      <c r="C110" s="732" t="s">
        <v>15</v>
      </c>
      <c r="D110" s="733" t="s">
        <v>366</v>
      </c>
      <c r="E110" s="734">
        <v>120.7</v>
      </c>
      <c r="F110" s="735">
        <f t="shared" si="6"/>
        <v>1299.20273</v>
      </c>
      <c r="G110" s="732" t="s">
        <v>353</v>
      </c>
      <c r="H110" s="736">
        <v>3</v>
      </c>
      <c r="I110" s="733" t="str">
        <f>IF('Plot By Plot SoA'!Q127=0,"-",'Plot By Plot SoA'!Q127)</f>
        <v>-</v>
      </c>
      <c r="J110" s="732" t="s">
        <v>361</v>
      </c>
      <c r="K110" s="733" t="str">
        <f>IF('Plot By Plot SoA'!K127=0,"-",'Plot By Plot SoA'!K127)</f>
        <v>Roof Terrace</v>
      </c>
      <c r="L110" s="737">
        <v>308</v>
      </c>
    </row>
    <row r="111" spans="1:12" x14ac:dyDescent="0.35">
      <c r="A111" s="850"/>
      <c r="B111" s="732">
        <v>106</v>
      </c>
      <c r="C111" s="732" t="s">
        <v>15</v>
      </c>
      <c r="D111" s="733" t="s">
        <v>366</v>
      </c>
      <c r="E111" s="738">
        <v>89.4</v>
      </c>
      <c r="F111" s="739">
        <f t="shared" si="6"/>
        <v>962.29266000000007</v>
      </c>
      <c r="G111" s="732" t="s">
        <v>348</v>
      </c>
      <c r="H111" s="736">
        <v>3</v>
      </c>
      <c r="I111" s="733" t="str">
        <f>IF('Plot By Plot SoA'!Q129=0,"-",'Plot By Plot SoA'!Q129)</f>
        <v>-</v>
      </c>
      <c r="J111" s="732" t="s">
        <v>362</v>
      </c>
      <c r="K111" s="733" t="str">
        <f>IF('Plot By Plot SoA'!K129=0,"-",'Plot By Plot SoA'!K129)</f>
        <v>Roof Terrace</v>
      </c>
      <c r="L111" s="737">
        <v>180</v>
      </c>
    </row>
    <row r="112" spans="1:12" x14ac:dyDescent="0.35">
      <c r="A112" s="850"/>
      <c r="B112" s="732">
        <v>107</v>
      </c>
      <c r="C112" s="732" t="s">
        <v>324</v>
      </c>
      <c r="D112" s="741" t="s">
        <v>324</v>
      </c>
      <c r="E112" s="738">
        <v>82.5</v>
      </c>
      <c r="F112" s="739">
        <f t="shared" si="6"/>
        <v>888.02175</v>
      </c>
      <c r="G112" s="732" t="s">
        <v>347</v>
      </c>
      <c r="H112" s="736">
        <v>2</v>
      </c>
      <c r="I112" s="733" t="str">
        <f>IF('Plot By Plot SoA'!Q130=0,"-",'Plot By Plot SoA'!Q130)</f>
        <v>-</v>
      </c>
      <c r="J112" s="732" t="s">
        <v>362</v>
      </c>
      <c r="K112" s="733" t="str">
        <f>IF('Plot By Plot SoA'!K130=0,"-",'Plot By Plot SoA'!K130)</f>
        <v>Private Front Garden</v>
      </c>
      <c r="L112" s="737">
        <v>93</v>
      </c>
    </row>
    <row r="113" spans="1:12" x14ac:dyDescent="0.35">
      <c r="A113" s="850"/>
      <c r="B113" s="732">
        <v>108</v>
      </c>
      <c r="C113" s="732" t="s">
        <v>15</v>
      </c>
      <c r="D113" s="733" t="s">
        <v>365</v>
      </c>
      <c r="E113" s="738">
        <v>108</v>
      </c>
      <c r="F113" s="739">
        <f t="shared" si="6"/>
        <v>1162.5011999999999</v>
      </c>
      <c r="G113" s="732" t="s">
        <v>352</v>
      </c>
      <c r="H113" s="736">
        <v>3</v>
      </c>
      <c r="I113" s="733" t="str">
        <f>IF('Plot By Plot SoA'!Q131=0,"-",'Plot By Plot SoA'!Q131)</f>
        <v>Y</v>
      </c>
      <c r="J113" s="732" t="s">
        <v>361</v>
      </c>
      <c r="K113" s="733" t="str">
        <f>IF('Plot By Plot SoA'!K131=0,"-",'Plot By Plot SoA'!K131)</f>
        <v>Private Front Garden</v>
      </c>
      <c r="L113" s="737">
        <v>118</v>
      </c>
    </row>
    <row r="114" spans="1:12" x14ac:dyDescent="0.35">
      <c r="A114" s="850"/>
      <c r="B114" s="732">
        <v>109</v>
      </c>
      <c r="C114" s="732" t="s">
        <v>15</v>
      </c>
      <c r="D114" s="733" t="s">
        <v>366</v>
      </c>
      <c r="E114" s="738">
        <v>108</v>
      </c>
      <c r="F114" s="739">
        <f t="shared" si="6"/>
        <v>1162.5011999999999</v>
      </c>
      <c r="G114" s="732" t="s">
        <v>348</v>
      </c>
      <c r="H114" s="736">
        <v>3</v>
      </c>
      <c r="I114" s="733" t="str">
        <f>IF('Plot By Plot SoA'!Q132=0,"-",'Plot By Plot SoA'!Q132)</f>
        <v>-</v>
      </c>
      <c r="J114" s="732" t="s">
        <v>361</v>
      </c>
      <c r="K114" s="733" t="str">
        <f>IF('Plot By Plot SoA'!K132=0,"-",'Plot By Plot SoA'!K132)</f>
        <v>Private Front Garden</v>
      </c>
      <c r="L114" s="737">
        <v>107</v>
      </c>
    </row>
    <row r="115" spans="1:12" x14ac:dyDescent="0.35">
      <c r="A115" s="850"/>
      <c r="B115" s="732">
        <v>110</v>
      </c>
      <c r="C115" s="732" t="s">
        <v>51</v>
      </c>
      <c r="D115" s="733" t="s">
        <v>372</v>
      </c>
      <c r="E115" s="738">
        <v>72.900000000000006</v>
      </c>
      <c r="F115" s="739">
        <f t="shared" si="6"/>
        <v>784.68831</v>
      </c>
      <c r="G115" s="732" t="s">
        <v>347</v>
      </c>
      <c r="H115" s="736">
        <v>2</v>
      </c>
      <c r="I115" s="733" t="str">
        <f>IF('Plot By Plot SoA'!Q133=0,"-",'Plot By Plot SoA'!Q133)</f>
        <v>-</v>
      </c>
      <c r="J115" s="732" t="s">
        <v>362</v>
      </c>
      <c r="K115" s="733" t="str">
        <f>IF('Plot By Plot SoA'!K133=0,"-",'Plot By Plot SoA'!K133)</f>
        <v>Private Front Garden</v>
      </c>
      <c r="L115" s="737">
        <v>38</v>
      </c>
    </row>
    <row r="116" spans="1:12" x14ac:dyDescent="0.35">
      <c r="A116" s="850"/>
      <c r="B116" s="732">
        <v>111</v>
      </c>
      <c r="C116" s="732" t="s">
        <v>51</v>
      </c>
      <c r="D116" s="733" t="s">
        <v>373</v>
      </c>
      <c r="E116" s="738">
        <v>72.900000000000006</v>
      </c>
      <c r="F116" s="739">
        <f t="shared" si="6"/>
        <v>784.68831</v>
      </c>
      <c r="G116" s="732" t="s">
        <v>347</v>
      </c>
      <c r="H116" s="736">
        <v>2</v>
      </c>
      <c r="I116" s="733" t="str">
        <f>IF('Plot By Plot SoA'!Q134=0,"-",'Plot By Plot SoA'!Q134)</f>
        <v>-</v>
      </c>
      <c r="J116" s="732" t="s">
        <v>362</v>
      </c>
      <c r="K116" s="733" t="str">
        <f>IF('Plot By Plot SoA'!K134=0,"-",'Plot By Plot SoA'!K134)</f>
        <v>Roof Terrace</v>
      </c>
      <c r="L116" s="737">
        <v>95</v>
      </c>
    </row>
    <row r="117" spans="1:12" x14ac:dyDescent="0.35">
      <c r="A117" s="850"/>
      <c r="B117" s="732">
        <v>112</v>
      </c>
      <c r="C117" s="732" t="s">
        <v>51</v>
      </c>
      <c r="D117" s="733" t="s">
        <v>373</v>
      </c>
      <c r="E117" s="738">
        <v>100.4</v>
      </c>
      <c r="F117" s="739">
        <f t="shared" si="6"/>
        <v>1080.6955600000001</v>
      </c>
      <c r="G117" s="732" t="s">
        <v>348</v>
      </c>
      <c r="H117" s="736">
        <v>2</v>
      </c>
      <c r="I117" s="733" t="str">
        <f>IF('Plot By Plot SoA'!Q135=0,"-",'Plot By Plot SoA'!Q135)</f>
        <v>Y</v>
      </c>
      <c r="J117" s="732" t="s">
        <v>362</v>
      </c>
      <c r="K117" s="733" t="str">
        <f>IF('Plot By Plot SoA'!K135=0,"-",'Plot By Plot SoA'!K135)</f>
        <v>Roof Terrace</v>
      </c>
      <c r="L117" s="737">
        <v>95</v>
      </c>
    </row>
    <row r="118" spans="1:12" x14ac:dyDescent="0.35">
      <c r="A118" s="850"/>
      <c r="B118" s="732">
        <v>113</v>
      </c>
      <c r="C118" s="732" t="s">
        <v>51</v>
      </c>
      <c r="D118" s="733" t="s">
        <v>373</v>
      </c>
      <c r="E118" s="734">
        <v>79.2</v>
      </c>
      <c r="F118" s="735">
        <f t="shared" si="6"/>
        <v>852.50088000000005</v>
      </c>
      <c r="G118" s="732" t="s">
        <v>349</v>
      </c>
      <c r="H118" s="736">
        <v>2</v>
      </c>
      <c r="I118" s="733" t="str">
        <f>IF('Plot By Plot SoA'!Q136=0,"-",'Plot By Plot SoA'!Q136)</f>
        <v>-</v>
      </c>
      <c r="J118" s="732" t="s">
        <v>362</v>
      </c>
      <c r="K118" s="733" t="str">
        <f>IF('Plot By Plot SoA'!K136=0,"-",'Plot By Plot SoA'!K136)</f>
        <v>Balcony</v>
      </c>
      <c r="L118" s="737">
        <v>172</v>
      </c>
    </row>
    <row r="119" spans="1:12" x14ac:dyDescent="0.35">
      <c r="A119" s="850"/>
      <c r="B119" s="732">
        <v>114</v>
      </c>
      <c r="C119" s="732" t="s">
        <v>51</v>
      </c>
      <c r="D119" s="733" t="s">
        <v>372</v>
      </c>
      <c r="E119" s="738">
        <v>100.4</v>
      </c>
      <c r="F119" s="739">
        <f t="shared" si="6"/>
        <v>1080.6955600000001</v>
      </c>
      <c r="G119" s="732" t="s">
        <v>348</v>
      </c>
      <c r="H119" s="736">
        <v>2</v>
      </c>
      <c r="I119" s="733" t="str">
        <f>IF('Plot By Plot SoA'!Q138=0,"-",'Plot By Plot SoA'!Q138)</f>
        <v>-</v>
      </c>
      <c r="J119" s="732" t="s">
        <v>361</v>
      </c>
      <c r="K119" s="733" t="str">
        <f>IF('Plot By Plot SoA'!K138=0,"-",'Plot By Plot SoA'!K138)</f>
        <v>Frontage Amenity</v>
      </c>
      <c r="L119" s="737">
        <v>47</v>
      </c>
    </row>
    <row r="120" spans="1:12" x14ac:dyDescent="0.35">
      <c r="A120" s="851"/>
      <c r="B120" s="732">
        <v>115</v>
      </c>
      <c r="C120" s="732" t="s">
        <v>51</v>
      </c>
      <c r="D120" s="733" t="s">
        <v>372</v>
      </c>
      <c r="E120" s="738">
        <v>79</v>
      </c>
      <c r="F120" s="739">
        <f t="shared" si="6"/>
        <v>850.34809999999993</v>
      </c>
      <c r="G120" s="732" t="s">
        <v>349</v>
      </c>
      <c r="H120" s="736">
        <v>2</v>
      </c>
      <c r="I120" s="733" t="str">
        <f>IF('Plot By Plot SoA'!Q139=0,"-",'Plot By Plot SoA'!Q139)</f>
        <v>-</v>
      </c>
      <c r="J120" s="732" t="s">
        <v>361</v>
      </c>
      <c r="K120" s="733" t="str">
        <f>IF('Plot By Plot SoA'!K139=0,"-",'Plot By Plot SoA'!K139)</f>
        <v>Frontage Amenity</v>
      </c>
      <c r="L120" s="737">
        <v>85</v>
      </c>
    </row>
    <row r="121" spans="1:12" x14ac:dyDescent="0.35">
      <c r="A121" s="852" t="s">
        <v>21</v>
      </c>
      <c r="B121" s="742">
        <v>116</v>
      </c>
      <c r="C121" s="742" t="s">
        <v>51</v>
      </c>
      <c r="D121" s="743" t="s">
        <v>324</v>
      </c>
      <c r="E121" s="742">
        <v>87.7</v>
      </c>
      <c r="F121" s="744">
        <f t="shared" si="6"/>
        <v>943.99402999999995</v>
      </c>
      <c r="G121" s="742" t="s">
        <v>349</v>
      </c>
      <c r="H121" s="745">
        <v>2</v>
      </c>
      <c r="I121" s="743" t="str">
        <f>IF('Plot By Plot SoA'!Q140=0,"-",'Plot By Plot SoA'!Q140)</f>
        <v>-</v>
      </c>
      <c r="J121" s="742" t="s">
        <v>362</v>
      </c>
      <c r="K121" s="743" t="str">
        <f>IF('Plot By Plot SoA'!K140=0,"-",'Plot By Plot SoA'!K140)</f>
        <v>Roof Terrace</v>
      </c>
      <c r="L121" s="746">
        <v>168</v>
      </c>
    </row>
    <row r="122" spans="1:12" x14ac:dyDescent="0.35">
      <c r="A122" s="853"/>
      <c r="B122" s="742">
        <v>117</v>
      </c>
      <c r="C122" s="742" t="s">
        <v>15</v>
      </c>
      <c r="D122" s="743" t="s">
        <v>366</v>
      </c>
      <c r="E122" s="747">
        <v>83.1</v>
      </c>
      <c r="F122" s="748">
        <f>SUM(E122*10.7639)</f>
        <v>894.4800899999999</v>
      </c>
      <c r="G122" s="742" t="s">
        <v>348</v>
      </c>
      <c r="H122" s="745">
        <v>3</v>
      </c>
      <c r="I122" s="743" t="str">
        <f>IF('Plot By Plot SoA'!Q141=0,"-",'Plot By Plot SoA'!Q141)</f>
        <v>-</v>
      </c>
      <c r="J122" s="742" t="s">
        <v>360</v>
      </c>
      <c r="K122" s="743" t="str">
        <f>IF('Plot By Plot SoA'!K141=0,"-",'Plot By Plot SoA'!K141)</f>
        <v>Roof Terrace</v>
      </c>
      <c r="L122" s="746">
        <v>150</v>
      </c>
    </row>
    <row r="123" spans="1:12" x14ac:dyDescent="0.35">
      <c r="A123" s="853"/>
      <c r="B123" s="742">
        <v>118</v>
      </c>
      <c r="C123" s="742" t="s">
        <v>15</v>
      </c>
      <c r="D123" s="743" t="s">
        <v>366</v>
      </c>
      <c r="E123" s="742">
        <v>95</v>
      </c>
      <c r="F123" s="744">
        <f t="shared" ref="F123:F134" si="7">SUM(E123*10.7639)</f>
        <v>1022.5704999999999</v>
      </c>
      <c r="G123" s="742" t="s">
        <v>349</v>
      </c>
      <c r="H123" s="745">
        <v>3</v>
      </c>
      <c r="I123" s="743" t="str">
        <f>IF('Plot By Plot SoA'!Q143=0,"-",'Plot By Plot SoA'!Q143)</f>
        <v>-</v>
      </c>
      <c r="J123" s="742" t="s">
        <v>361</v>
      </c>
      <c r="K123" s="743" t="str">
        <f>IF('Plot By Plot SoA'!K143=0,"-",'Plot By Plot SoA'!K143)</f>
        <v>Community Amenity</v>
      </c>
      <c r="L123" s="746" t="s">
        <v>79</v>
      </c>
    </row>
    <row r="124" spans="1:12" x14ac:dyDescent="0.35">
      <c r="A124" s="853"/>
      <c r="B124" s="742">
        <v>119</v>
      </c>
      <c r="C124" s="742" t="s">
        <v>15</v>
      </c>
      <c r="D124" s="743" t="s">
        <v>366</v>
      </c>
      <c r="E124" s="742">
        <v>95</v>
      </c>
      <c r="F124" s="744">
        <f t="shared" si="7"/>
        <v>1022.5704999999999</v>
      </c>
      <c r="G124" s="742" t="s">
        <v>349</v>
      </c>
      <c r="H124" s="745">
        <v>3</v>
      </c>
      <c r="I124" s="743" t="str">
        <f>IF('Plot By Plot SoA'!Q144=0,"-",'Plot By Plot SoA'!Q144)</f>
        <v>-</v>
      </c>
      <c r="J124" s="742" t="s">
        <v>361</v>
      </c>
      <c r="K124" s="743" t="str">
        <f>IF('Plot By Plot SoA'!K144=0,"-",'Plot By Plot SoA'!K144)</f>
        <v>Community Amenity</v>
      </c>
      <c r="L124" s="746" t="s">
        <v>79</v>
      </c>
    </row>
    <row r="125" spans="1:12" x14ac:dyDescent="0.35">
      <c r="A125" s="853"/>
      <c r="B125" s="742">
        <v>120</v>
      </c>
      <c r="C125" s="742" t="s">
        <v>15</v>
      </c>
      <c r="D125" s="743" t="s">
        <v>365</v>
      </c>
      <c r="E125" s="747">
        <v>83.1</v>
      </c>
      <c r="F125" s="748">
        <f t="shared" si="7"/>
        <v>894.4800899999999</v>
      </c>
      <c r="G125" s="742" t="s">
        <v>348</v>
      </c>
      <c r="H125" s="745">
        <v>3</v>
      </c>
      <c r="I125" s="743" t="str">
        <f>IF('Plot By Plot SoA'!Q145=0,"-",'Plot By Plot SoA'!Q145)</f>
        <v>-</v>
      </c>
      <c r="J125" s="742" t="s">
        <v>360</v>
      </c>
      <c r="K125" s="743" t="str">
        <f>IF('Plot By Plot SoA'!K145=0,"-",'Plot By Plot SoA'!K145)</f>
        <v>Roof Terrace</v>
      </c>
      <c r="L125" s="746">
        <v>170</v>
      </c>
    </row>
    <row r="126" spans="1:12" x14ac:dyDescent="0.35">
      <c r="A126" s="853"/>
      <c r="B126" s="742">
        <v>121</v>
      </c>
      <c r="C126" s="742" t="s">
        <v>15</v>
      </c>
      <c r="D126" s="743" t="s">
        <v>366</v>
      </c>
      <c r="E126" s="742">
        <v>77.5</v>
      </c>
      <c r="F126" s="744">
        <f t="shared" si="7"/>
        <v>834.20224999999994</v>
      </c>
      <c r="G126" s="742" t="s">
        <v>347</v>
      </c>
      <c r="H126" s="745">
        <v>3</v>
      </c>
      <c r="I126" s="743" t="str">
        <f>IF('Plot By Plot SoA'!Q147=0,"-",'Plot By Plot SoA'!Q147)</f>
        <v>-</v>
      </c>
      <c r="J126" s="742" t="s">
        <v>362</v>
      </c>
      <c r="K126" s="743" t="str">
        <f>IF('Plot By Plot SoA'!K147=0,"-",'Plot By Plot SoA'!K147)</f>
        <v>Community Amenity</v>
      </c>
      <c r="L126" s="746" t="s">
        <v>79</v>
      </c>
    </row>
    <row r="127" spans="1:12" x14ac:dyDescent="0.35">
      <c r="A127" s="853"/>
      <c r="B127" s="742">
        <v>122</v>
      </c>
      <c r="C127" s="742" t="s">
        <v>15</v>
      </c>
      <c r="D127" s="743" t="s">
        <v>366</v>
      </c>
      <c r="E127" s="742">
        <v>77.5</v>
      </c>
      <c r="F127" s="744">
        <f t="shared" si="7"/>
        <v>834.20224999999994</v>
      </c>
      <c r="G127" s="742" t="s">
        <v>347</v>
      </c>
      <c r="H127" s="745">
        <v>3</v>
      </c>
      <c r="I127" s="743" t="str">
        <f>IF('Plot By Plot SoA'!Q148=0,"-",'Plot By Plot SoA'!Q148)</f>
        <v>-</v>
      </c>
      <c r="J127" s="742" t="s">
        <v>362</v>
      </c>
      <c r="K127" s="743" t="str">
        <f>IF('Plot By Plot SoA'!K148=0,"-",'Plot By Plot SoA'!K148)</f>
        <v>Community Amenity</v>
      </c>
      <c r="L127" s="746" t="s">
        <v>79</v>
      </c>
    </row>
    <row r="128" spans="1:12" x14ac:dyDescent="0.35">
      <c r="A128" s="853"/>
      <c r="B128" s="742">
        <v>123</v>
      </c>
      <c r="C128" s="742" t="s">
        <v>15</v>
      </c>
      <c r="D128" s="743" t="s">
        <v>366</v>
      </c>
      <c r="E128" s="742">
        <v>77.5</v>
      </c>
      <c r="F128" s="744">
        <f t="shared" si="7"/>
        <v>834.20224999999994</v>
      </c>
      <c r="G128" s="742" t="s">
        <v>347</v>
      </c>
      <c r="H128" s="745">
        <v>3</v>
      </c>
      <c r="I128" s="743" t="str">
        <f>IF('Plot By Plot SoA'!Q149=0,"-",'Plot By Plot SoA'!Q149)</f>
        <v>-</v>
      </c>
      <c r="J128" s="742" t="s">
        <v>362</v>
      </c>
      <c r="K128" s="743" t="str">
        <f>IF('Plot By Plot SoA'!K149=0,"-",'Plot By Plot SoA'!K149)</f>
        <v>Community Amenity</v>
      </c>
      <c r="L128" s="746" t="s">
        <v>79</v>
      </c>
    </row>
    <row r="129" spans="1:12" x14ac:dyDescent="0.35">
      <c r="A129" s="853"/>
      <c r="B129" s="742">
        <v>124</v>
      </c>
      <c r="C129" s="742" t="s">
        <v>324</v>
      </c>
      <c r="D129" s="743" t="s">
        <v>371</v>
      </c>
      <c r="E129" s="742">
        <v>99</v>
      </c>
      <c r="F129" s="744">
        <f t="shared" si="7"/>
        <v>1065.6261</v>
      </c>
      <c r="G129" s="742" t="s">
        <v>349</v>
      </c>
      <c r="H129" s="745">
        <v>2</v>
      </c>
      <c r="I129" s="743" t="str">
        <f>IF('Plot By Plot SoA'!Q150=0,"-",'Plot By Plot SoA'!Q150)</f>
        <v>-</v>
      </c>
      <c r="J129" s="742" t="s">
        <v>362</v>
      </c>
      <c r="K129" s="743" t="str">
        <f>IF('Plot By Plot SoA'!K150=0,"-",'Plot By Plot SoA'!K150)</f>
        <v>Community Amenity</v>
      </c>
      <c r="L129" s="746" t="s">
        <v>79</v>
      </c>
    </row>
    <row r="130" spans="1:12" x14ac:dyDescent="0.35">
      <c r="A130" s="853"/>
      <c r="B130" s="742">
        <v>125</v>
      </c>
      <c r="C130" s="742" t="s">
        <v>15</v>
      </c>
      <c r="D130" s="743" t="s">
        <v>366</v>
      </c>
      <c r="E130" s="742">
        <v>75.3</v>
      </c>
      <c r="F130" s="744">
        <f t="shared" si="7"/>
        <v>810.52166999999997</v>
      </c>
      <c r="G130" s="742" t="s">
        <v>347</v>
      </c>
      <c r="H130" s="745">
        <v>3</v>
      </c>
      <c r="I130" s="743" t="str">
        <f>IF('Plot By Plot SoA'!Q151=0,"-",'Plot By Plot SoA'!Q151)</f>
        <v>-</v>
      </c>
      <c r="J130" s="742" t="s">
        <v>362</v>
      </c>
      <c r="K130" s="743" t="str">
        <f>IF('Plot By Plot SoA'!K151=0,"-",'Plot By Plot SoA'!K151)</f>
        <v>Community Amenity</v>
      </c>
      <c r="L130" s="746" t="s">
        <v>79</v>
      </c>
    </row>
    <row r="131" spans="1:12" x14ac:dyDescent="0.35">
      <c r="A131" s="853"/>
      <c r="B131" s="742">
        <v>126</v>
      </c>
      <c r="C131" s="742" t="s">
        <v>15</v>
      </c>
      <c r="D131" s="743" t="s">
        <v>366</v>
      </c>
      <c r="E131" s="742">
        <v>75.3</v>
      </c>
      <c r="F131" s="744">
        <f t="shared" si="7"/>
        <v>810.52166999999997</v>
      </c>
      <c r="G131" s="742" t="s">
        <v>347</v>
      </c>
      <c r="H131" s="745">
        <v>3</v>
      </c>
      <c r="I131" s="743" t="str">
        <f>IF('Plot By Plot SoA'!Q152=0,"-",'Plot By Plot SoA'!Q152)</f>
        <v>-</v>
      </c>
      <c r="J131" s="742" t="s">
        <v>362</v>
      </c>
      <c r="K131" s="743" t="str">
        <f>IF('Plot By Plot SoA'!K152=0,"-",'Plot By Plot SoA'!K152)</f>
        <v>Community Amenity</v>
      </c>
      <c r="L131" s="746" t="s">
        <v>79</v>
      </c>
    </row>
    <row r="132" spans="1:12" x14ac:dyDescent="0.35">
      <c r="A132" s="853"/>
      <c r="B132" s="742">
        <v>127</v>
      </c>
      <c r="C132" s="742" t="s">
        <v>15</v>
      </c>
      <c r="D132" s="743" t="s">
        <v>365</v>
      </c>
      <c r="E132" s="742">
        <v>75.3</v>
      </c>
      <c r="F132" s="744">
        <f t="shared" si="7"/>
        <v>810.52166999999997</v>
      </c>
      <c r="G132" s="742" t="s">
        <v>347</v>
      </c>
      <c r="H132" s="745">
        <v>3</v>
      </c>
      <c r="I132" s="743" t="str">
        <f>IF('Plot By Plot SoA'!Q153=0,"-",'Plot By Plot SoA'!Q153)</f>
        <v>-</v>
      </c>
      <c r="J132" s="742" t="s">
        <v>362</v>
      </c>
      <c r="K132" s="743" t="str">
        <f>IF('Plot By Plot SoA'!K153=0,"-",'Plot By Plot SoA'!K153)</f>
        <v>Community Amenity</v>
      </c>
      <c r="L132" s="746" t="s">
        <v>79</v>
      </c>
    </row>
    <row r="133" spans="1:12" x14ac:dyDescent="0.35">
      <c r="A133" s="853"/>
      <c r="B133" s="742">
        <v>128</v>
      </c>
      <c r="C133" s="742" t="s">
        <v>15</v>
      </c>
      <c r="D133" s="743" t="s">
        <v>365</v>
      </c>
      <c r="E133" s="742">
        <v>70.599999999999994</v>
      </c>
      <c r="F133" s="744">
        <f t="shared" si="7"/>
        <v>759.93133999999986</v>
      </c>
      <c r="G133" s="742" t="s">
        <v>347</v>
      </c>
      <c r="H133" s="745">
        <v>2</v>
      </c>
      <c r="I133" s="743" t="str">
        <f>IF('Plot By Plot SoA'!Q154=0,"-",'Plot By Plot SoA'!Q154)</f>
        <v>-</v>
      </c>
      <c r="J133" s="742" t="s">
        <v>362</v>
      </c>
      <c r="K133" s="743" t="str">
        <f>IF('Plot By Plot SoA'!K154=0,"-",'Plot By Plot SoA'!K154)</f>
        <v>Community Amenity</v>
      </c>
      <c r="L133" s="746" t="s">
        <v>79</v>
      </c>
    </row>
    <row r="134" spans="1:12" x14ac:dyDescent="0.35">
      <c r="A134" s="853"/>
      <c r="B134" s="742">
        <v>129</v>
      </c>
      <c r="C134" s="742" t="s">
        <v>15</v>
      </c>
      <c r="D134" s="743" t="s">
        <v>366</v>
      </c>
      <c r="E134" s="742">
        <v>91.4</v>
      </c>
      <c r="F134" s="744">
        <f t="shared" si="7"/>
        <v>983.82046000000003</v>
      </c>
      <c r="G134" s="742" t="s">
        <v>352</v>
      </c>
      <c r="H134" s="745">
        <v>3</v>
      </c>
      <c r="I134" s="743" t="str">
        <f>IF('Plot By Plot SoA'!Q155=0,"-",'Plot By Plot SoA'!Q155)</f>
        <v>-</v>
      </c>
      <c r="J134" s="742" t="s">
        <v>362</v>
      </c>
      <c r="K134" s="743" t="str">
        <f>IF('Plot By Plot SoA'!K155=0,"-",'Plot By Plot SoA'!K155)</f>
        <v>Roof Terrace</v>
      </c>
      <c r="L134" s="746">
        <v>113</v>
      </c>
    </row>
    <row r="135" spans="1:12" x14ac:dyDescent="0.35">
      <c r="A135" s="853"/>
      <c r="B135" s="742">
        <v>130</v>
      </c>
      <c r="C135" s="742" t="s">
        <v>15</v>
      </c>
      <c r="D135" s="743" t="s">
        <v>366</v>
      </c>
      <c r="E135" s="747">
        <v>108.2</v>
      </c>
      <c r="F135" s="748">
        <f>SUM(E135*10.7639)</f>
        <v>1164.65398</v>
      </c>
      <c r="G135" s="742" t="s">
        <v>352</v>
      </c>
      <c r="H135" s="745">
        <v>3</v>
      </c>
      <c r="I135" s="743" t="str">
        <f>IF('Plot By Plot SoA'!Q156=0,"-",'Plot By Plot SoA'!Q156)</f>
        <v>-</v>
      </c>
      <c r="J135" s="742" t="s">
        <v>361</v>
      </c>
      <c r="K135" s="743" t="str">
        <f>IF('Plot By Plot SoA'!K156=0,"-",'Plot By Plot SoA'!K156)</f>
        <v>Roof Terrace</v>
      </c>
      <c r="L135" s="746">
        <v>236</v>
      </c>
    </row>
    <row r="136" spans="1:12" x14ac:dyDescent="0.35">
      <c r="A136" s="853"/>
      <c r="B136" s="742">
        <v>131</v>
      </c>
      <c r="C136" s="742" t="s">
        <v>15</v>
      </c>
      <c r="D136" s="743" t="s">
        <v>365</v>
      </c>
      <c r="E136" s="747">
        <v>127.5</v>
      </c>
      <c r="F136" s="748">
        <f>SUM(E136*10.7639)</f>
        <v>1372.39725</v>
      </c>
      <c r="G136" s="742" t="s">
        <v>350</v>
      </c>
      <c r="H136" s="745">
        <v>3</v>
      </c>
      <c r="I136" s="743" t="str">
        <f>IF('Plot By Plot SoA'!Q158=0,"-",'Plot By Plot SoA'!Q158)</f>
        <v>-</v>
      </c>
      <c r="J136" s="742" t="s">
        <v>361</v>
      </c>
      <c r="K136" s="743" t="str">
        <f>IF('Plot By Plot SoA'!K158=0,"-",'Plot By Plot SoA'!K158)</f>
        <v>Frontage Amenity</v>
      </c>
      <c r="L136" s="746">
        <v>72</v>
      </c>
    </row>
    <row r="137" spans="1:12" x14ac:dyDescent="0.35">
      <c r="A137" s="853"/>
      <c r="B137" s="742">
        <v>132</v>
      </c>
      <c r="C137" s="742" t="s">
        <v>15</v>
      </c>
      <c r="D137" s="743" t="s">
        <v>366</v>
      </c>
      <c r="E137" s="747">
        <v>72.599999999999994</v>
      </c>
      <c r="F137" s="748">
        <f t="shared" ref="F137:F198" si="8">SUM(E137*10.7639)</f>
        <v>781.45913999999993</v>
      </c>
      <c r="G137" s="742" t="s">
        <v>347</v>
      </c>
      <c r="H137" s="745">
        <v>3</v>
      </c>
      <c r="I137" s="743" t="str">
        <f>IF('Plot By Plot SoA'!Q160=0,"-",'Plot By Plot SoA'!Q160)</f>
        <v>Y</v>
      </c>
      <c r="J137" s="742" t="s">
        <v>362</v>
      </c>
      <c r="K137" s="743" t="str">
        <f>IF('Plot By Plot SoA'!K160=0,"-",'Plot By Plot SoA'!K160)</f>
        <v>Balcony</v>
      </c>
      <c r="L137" s="746">
        <v>51</v>
      </c>
    </row>
    <row r="138" spans="1:12" x14ac:dyDescent="0.35">
      <c r="A138" s="853"/>
      <c r="B138" s="742">
        <v>133</v>
      </c>
      <c r="C138" s="742" t="s">
        <v>15</v>
      </c>
      <c r="D138" s="743" t="s">
        <v>366</v>
      </c>
      <c r="E138" s="742">
        <v>90</v>
      </c>
      <c r="F138" s="744">
        <f t="shared" si="8"/>
        <v>968.75099999999998</v>
      </c>
      <c r="G138" s="742" t="s">
        <v>348</v>
      </c>
      <c r="H138" s="745">
        <v>3</v>
      </c>
      <c r="I138" s="743" t="str">
        <f>IF('Plot By Plot SoA'!Q162=0,"-",'Plot By Plot SoA'!Q162)</f>
        <v>-</v>
      </c>
      <c r="J138" s="742" t="s">
        <v>361</v>
      </c>
      <c r="K138" s="743" t="str">
        <f>IF('Plot By Plot SoA'!K162=0,"-",'Plot By Plot SoA'!K162)</f>
        <v>Shared Amenity</v>
      </c>
      <c r="L138" s="746" t="s">
        <v>79</v>
      </c>
    </row>
    <row r="139" spans="1:12" x14ac:dyDescent="0.35">
      <c r="A139" s="853"/>
      <c r="B139" s="742">
        <v>134</v>
      </c>
      <c r="C139" s="742" t="s">
        <v>15</v>
      </c>
      <c r="D139" s="749" t="s">
        <v>365</v>
      </c>
      <c r="E139" s="742">
        <v>97.1</v>
      </c>
      <c r="F139" s="744">
        <f t="shared" si="8"/>
        <v>1045.1746899999998</v>
      </c>
      <c r="G139" s="742" t="s">
        <v>348</v>
      </c>
      <c r="H139" s="745">
        <v>3</v>
      </c>
      <c r="I139" s="743" t="str">
        <f>IF('Plot By Plot SoA'!Q163=0,"-",'Plot By Plot SoA'!Q163)</f>
        <v>-</v>
      </c>
      <c r="J139" s="742" t="s">
        <v>361</v>
      </c>
      <c r="K139" s="743" t="str">
        <f>IF('Plot By Plot SoA'!K163=0,"-",'Plot By Plot SoA'!K163)</f>
        <v>Shared Amenity</v>
      </c>
      <c r="L139" s="746" t="s">
        <v>79</v>
      </c>
    </row>
    <row r="140" spans="1:12" x14ac:dyDescent="0.35">
      <c r="A140" s="853"/>
      <c r="B140" s="742">
        <v>135</v>
      </c>
      <c r="C140" s="742" t="s">
        <v>15</v>
      </c>
      <c r="D140" s="743" t="s">
        <v>365</v>
      </c>
      <c r="E140" s="747">
        <v>91.3</v>
      </c>
      <c r="F140" s="748">
        <f t="shared" si="8"/>
        <v>982.74406999999997</v>
      </c>
      <c r="G140" s="742" t="s">
        <v>352</v>
      </c>
      <c r="H140" s="745">
        <v>3</v>
      </c>
      <c r="I140" s="743" t="str">
        <f>IF('Plot By Plot SoA'!Q164=0,"-",'Plot By Plot SoA'!Q164)</f>
        <v>-</v>
      </c>
      <c r="J140" s="742" t="s">
        <v>360</v>
      </c>
      <c r="K140" s="743" t="str">
        <f>IF('Plot By Plot SoA'!K164=0,"-",'Plot By Plot SoA'!K164)</f>
        <v>Balcony</v>
      </c>
      <c r="L140" s="746">
        <v>95</v>
      </c>
    </row>
    <row r="141" spans="1:12" x14ac:dyDescent="0.35">
      <c r="A141" s="853"/>
      <c r="B141" s="742">
        <v>136</v>
      </c>
      <c r="C141" s="742" t="s">
        <v>324</v>
      </c>
      <c r="D141" s="743" t="s">
        <v>324</v>
      </c>
      <c r="E141" s="742">
        <v>88.5</v>
      </c>
      <c r="F141" s="744">
        <f t="shared" si="8"/>
        <v>952.60514999999998</v>
      </c>
      <c r="G141" s="742" t="s">
        <v>347</v>
      </c>
      <c r="H141" s="745">
        <v>2</v>
      </c>
      <c r="I141" s="743" t="str">
        <f>IF('Plot By Plot SoA'!Q166=0,"-",'Plot By Plot SoA'!Q166)</f>
        <v>-</v>
      </c>
      <c r="J141" s="742" t="s">
        <v>362</v>
      </c>
      <c r="K141" s="743" t="str">
        <f>IF('Plot By Plot SoA'!K166=0,"-",'Plot By Plot SoA'!K166)</f>
        <v>Community Amenity</v>
      </c>
      <c r="L141" s="746" t="s">
        <v>79</v>
      </c>
    </row>
    <row r="142" spans="1:12" x14ac:dyDescent="0.35">
      <c r="A142" s="853"/>
      <c r="B142" s="742">
        <v>137</v>
      </c>
      <c r="C142" s="742" t="s">
        <v>15</v>
      </c>
      <c r="D142" s="743" t="s">
        <v>366</v>
      </c>
      <c r="E142" s="742">
        <v>89.9</v>
      </c>
      <c r="F142" s="744">
        <f t="shared" si="8"/>
        <v>967.67461000000003</v>
      </c>
      <c r="G142" s="742" t="s">
        <v>352</v>
      </c>
      <c r="H142" s="745">
        <v>3</v>
      </c>
      <c r="I142" s="743" t="str">
        <f>IF('Plot By Plot SoA'!Q167=0,"-",'Plot By Plot SoA'!Q167)</f>
        <v>-</v>
      </c>
      <c r="J142" s="742" t="s">
        <v>360</v>
      </c>
      <c r="K142" s="743" t="str">
        <f>IF('Plot By Plot SoA'!K167=0,"-",'Plot By Plot SoA'!K167)</f>
        <v>Community Amenity</v>
      </c>
      <c r="L142" s="746" t="s">
        <v>79</v>
      </c>
    </row>
    <row r="143" spans="1:12" x14ac:dyDescent="0.35">
      <c r="A143" s="853"/>
      <c r="B143" s="742">
        <v>138</v>
      </c>
      <c r="C143" s="742" t="s">
        <v>15</v>
      </c>
      <c r="D143" s="743" t="s">
        <v>365</v>
      </c>
      <c r="E143" s="742">
        <v>90.7</v>
      </c>
      <c r="F143" s="744">
        <f t="shared" si="8"/>
        <v>976.28572999999994</v>
      </c>
      <c r="G143" s="742" t="s">
        <v>347</v>
      </c>
      <c r="H143" s="745">
        <v>4</v>
      </c>
      <c r="I143" s="743" t="str">
        <f>IF('Plot By Plot SoA'!Q168=0,"-",'Plot By Plot SoA'!Q168)</f>
        <v>-</v>
      </c>
      <c r="J143" s="742" t="s">
        <v>361</v>
      </c>
      <c r="K143" s="743" t="str">
        <f>IF('Plot By Plot SoA'!K168=0,"-",'Plot By Plot SoA'!K168)</f>
        <v>Roof Terrace</v>
      </c>
      <c r="L143" s="746">
        <v>222</v>
      </c>
    </row>
    <row r="144" spans="1:12" x14ac:dyDescent="0.35">
      <c r="A144" s="853"/>
      <c r="B144" s="742">
        <v>139</v>
      </c>
      <c r="C144" s="742" t="s">
        <v>15</v>
      </c>
      <c r="D144" s="743" t="s">
        <v>366</v>
      </c>
      <c r="E144" s="742">
        <v>90.7</v>
      </c>
      <c r="F144" s="744">
        <f t="shared" si="8"/>
        <v>976.28572999999994</v>
      </c>
      <c r="G144" s="742" t="s">
        <v>347</v>
      </c>
      <c r="H144" s="745">
        <v>4</v>
      </c>
      <c r="I144" s="743" t="str">
        <f>IF('Plot By Plot SoA'!Q169=0,"-",'Plot By Plot SoA'!Q169)</f>
        <v>-</v>
      </c>
      <c r="J144" s="742" t="s">
        <v>361</v>
      </c>
      <c r="K144" s="743" t="str">
        <f>IF('Plot By Plot SoA'!K169=0,"-",'Plot By Plot SoA'!K169)</f>
        <v>Private Rear Garden</v>
      </c>
      <c r="L144" s="746">
        <v>271</v>
      </c>
    </row>
    <row r="145" spans="1:12" x14ac:dyDescent="0.35">
      <c r="A145" s="853"/>
      <c r="B145" s="742">
        <v>140</v>
      </c>
      <c r="C145" s="742" t="s">
        <v>15</v>
      </c>
      <c r="D145" s="743" t="s">
        <v>366</v>
      </c>
      <c r="E145" s="742">
        <v>87.6</v>
      </c>
      <c r="F145" s="744">
        <f t="shared" si="8"/>
        <v>942.91763999999989</v>
      </c>
      <c r="G145" s="742" t="s">
        <v>347</v>
      </c>
      <c r="H145" s="745">
        <v>3</v>
      </c>
      <c r="I145" s="743" t="str">
        <f>IF('Plot By Plot SoA'!Q170=0,"-",'Plot By Plot SoA'!Q170)</f>
        <v>-</v>
      </c>
      <c r="J145" s="742" t="s">
        <v>361</v>
      </c>
      <c r="K145" s="743" t="str">
        <f>IF('Plot By Plot SoA'!K170=0,"-",'Plot By Plot SoA'!K170)</f>
        <v>Private Rear Garden</v>
      </c>
      <c r="L145" s="746">
        <v>237</v>
      </c>
    </row>
    <row r="146" spans="1:12" x14ac:dyDescent="0.35">
      <c r="A146" s="853"/>
      <c r="B146" s="742">
        <v>141</v>
      </c>
      <c r="C146" s="742" t="s">
        <v>15</v>
      </c>
      <c r="D146" s="743" t="s">
        <v>366</v>
      </c>
      <c r="E146" s="742">
        <v>97.3</v>
      </c>
      <c r="F146" s="744">
        <f t="shared" si="8"/>
        <v>1047.3274699999999</v>
      </c>
      <c r="G146" s="742" t="s">
        <v>348</v>
      </c>
      <c r="H146" s="745">
        <v>3</v>
      </c>
      <c r="I146" s="743" t="str">
        <f>IF('Plot By Plot SoA'!Q171=0,"-",'Plot By Plot SoA'!Q171)</f>
        <v>-</v>
      </c>
      <c r="J146" s="742" t="s">
        <v>361</v>
      </c>
      <c r="K146" s="743" t="str">
        <f>IF('Plot By Plot SoA'!K171=0,"-",'Plot By Plot SoA'!K171)</f>
        <v>Shared Amenity</v>
      </c>
      <c r="L146" s="746" t="s">
        <v>79</v>
      </c>
    </row>
    <row r="147" spans="1:12" x14ac:dyDescent="0.35">
      <c r="A147" s="854"/>
      <c r="B147" s="742">
        <v>142</v>
      </c>
      <c r="C147" s="742" t="s">
        <v>15</v>
      </c>
      <c r="D147" s="743" t="s">
        <v>365</v>
      </c>
      <c r="E147" s="742">
        <v>89</v>
      </c>
      <c r="F147" s="744">
        <f t="shared" si="8"/>
        <v>957.98709999999994</v>
      </c>
      <c r="G147" s="742" t="s">
        <v>349</v>
      </c>
      <c r="H147" s="745">
        <v>3</v>
      </c>
      <c r="I147" s="743" t="str">
        <f>IF('Plot By Plot SoA'!Q172=0,"-",'Plot By Plot SoA'!Q172)</f>
        <v>-</v>
      </c>
      <c r="J147" s="742" t="s">
        <v>362</v>
      </c>
      <c r="K147" s="743" t="str">
        <f>IF('Plot By Plot SoA'!K172=0,"-",'Plot By Plot SoA'!K172)</f>
        <v>Community Amenity</v>
      </c>
      <c r="L147" s="746" t="s">
        <v>79</v>
      </c>
    </row>
    <row r="148" spans="1:12" x14ac:dyDescent="0.35">
      <c r="A148" s="893" t="s">
        <v>25</v>
      </c>
      <c r="B148" s="750">
        <v>143</v>
      </c>
      <c r="C148" s="750" t="s">
        <v>346</v>
      </c>
      <c r="D148" s="751" t="s">
        <v>374</v>
      </c>
      <c r="E148" s="752">
        <v>38.200000000000003</v>
      </c>
      <c r="F148" s="753">
        <f t="shared" si="8"/>
        <v>411.18098000000003</v>
      </c>
      <c r="G148" s="750" t="s">
        <v>351</v>
      </c>
      <c r="H148" s="754">
        <v>1</v>
      </c>
      <c r="I148" s="751" t="str">
        <f>IF('Plot By Plot SoA'!Q173=0,"-",'Plot By Plot SoA'!Q173)</f>
        <v>-</v>
      </c>
      <c r="J148" s="750" t="s">
        <v>362</v>
      </c>
      <c r="K148" s="751" t="str">
        <f>IF('Plot By Plot SoA'!K173=0,"-",'Plot By Plot SoA'!K173)</f>
        <v>Shared Garden</v>
      </c>
      <c r="L148" s="755" t="s">
        <v>79</v>
      </c>
    </row>
    <row r="149" spans="1:12" x14ac:dyDescent="0.35">
      <c r="A149" s="894"/>
      <c r="B149" s="750">
        <v>144</v>
      </c>
      <c r="C149" s="750" t="s">
        <v>346</v>
      </c>
      <c r="D149" s="751" t="s">
        <v>374</v>
      </c>
      <c r="E149" s="756">
        <v>52.1</v>
      </c>
      <c r="F149" s="757">
        <f t="shared" si="8"/>
        <v>560.79918999999995</v>
      </c>
      <c r="G149" s="750" t="s">
        <v>351</v>
      </c>
      <c r="H149" s="754">
        <v>1</v>
      </c>
      <c r="I149" s="751" t="str">
        <f>IF('Plot By Plot SoA'!Q174=0,"-",'Plot By Plot SoA'!Q174)</f>
        <v>-</v>
      </c>
      <c r="J149" s="750" t="s">
        <v>362</v>
      </c>
      <c r="K149" s="751" t="str">
        <f>IF('Plot By Plot SoA'!K174=0,"-",'Plot By Plot SoA'!K174)</f>
        <v>Shared Garden</v>
      </c>
      <c r="L149" s="755" t="s">
        <v>79</v>
      </c>
    </row>
    <row r="150" spans="1:12" x14ac:dyDescent="0.35">
      <c r="A150" s="894"/>
      <c r="B150" s="750">
        <v>145</v>
      </c>
      <c r="C150" s="750" t="s">
        <v>17</v>
      </c>
      <c r="D150" s="751" t="s">
        <v>375</v>
      </c>
      <c r="E150" s="756">
        <v>38.200000000000003</v>
      </c>
      <c r="F150" s="757">
        <f t="shared" si="8"/>
        <v>411.18098000000003</v>
      </c>
      <c r="G150" s="750" t="s">
        <v>351</v>
      </c>
      <c r="H150" s="758">
        <v>1</v>
      </c>
      <c r="I150" s="751" t="str">
        <f>IF('Plot By Plot SoA'!Q175=0,"-",'Plot By Plot SoA'!Q175)</f>
        <v>-</v>
      </c>
      <c r="J150" s="750" t="s">
        <v>362</v>
      </c>
      <c r="K150" s="751" t="str">
        <f>IF('Plot By Plot SoA'!K175=0,"-",'Plot By Plot SoA'!K175)</f>
        <v>Balcony</v>
      </c>
      <c r="L150" s="755">
        <v>155</v>
      </c>
    </row>
    <row r="151" spans="1:12" x14ac:dyDescent="0.35">
      <c r="A151" s="894"/>
      <c r="B151" s="750">
        <v>146</v>
      </c>
      <c r="C151" s="750" t="s">
        <v>17</v>
      </c>
      <c r="D151" s="751" t="s">
        <v>375</v>
      </c>
      <c r="E151" s="756">
        <v>52.1</v>
      </c>
      <c r="F151" s="757">
        <f t="shared" si="8"/>
        <v>560.79918999999995</v>
      </c>
      <c r="G151" s="750" t="s">
        <v>351</v>
      </c>
      <c r="H151" s="754">
        <v>1</v>
      </c>
      <c r="I151" s="751" t="str">
        <f>IF('Plot By Plot SoA'!Q176=0,"-",'Plot By Plot SoA'!Q176)</f>
        <v>-</v>
      </c>
      <c r="J151" s="750" t="s">
        <v>362</v>
      </c>
      <c r="K151" s="751" t="str">
        <f>IF('Plot By Plot SoA'!K176=0,"-",'Plot By Plot SoA'!K176)</f>
        <v>Shared Garden</v>
      </c>
      <c r="L151" s="755" t="s">
        <v>79</v>
      </c>
    </row>
    <row r="152" spans="1:12" x14ac:dyDescent="0.35">
      <c r="A152" s="894"/>
      <c r="B152" s="750">
        <v>147</v>
      </c>
      <c r="C152" s="750" t="s">
        <v>17</v>
      </c>
      <c r="D152" s="751" t="s">
        <v>376</v>
      </c>
      <c r="E152" s="756">
        <v>38.200000000000003</v>
      </c>
      <c r="F152" s="757">
        <f t="shared" si="8"/>
        <v>411.18098000000003</v>
      </c>
      <c r="G152" s="750" t="s">
        <v>351</v>
      </c>
      <c r="H152" s="754">
        <v>1</v>
      </c>
      <c r="I152" s="751" t="str">
        <f>IF('Plot By Plot SoA'!Q177=0,"-",'Plot By Plot SoA'!Q177)</f>
        <v>-</v>
      </c>
      <c r="J152" s="750" t="s">
        <v>362</v>
      </c>
      <c r="K152" s="751" t="str">
        <f>IF('Plot By Plot SoA'!K177=0,"-",'Plot By Plot SoA'!K177)</f>
        <v>Balcony</v>
      </c>
      <c r="L152" s="755">
        <v>76</v>
      </c>
    </row>
    <row r="153" spans="1:12" x14ac:dyDescent="0.35">
      <c r="A153" s="894"/>
      <c r="B153" s="750">
        <v>148</v>
      </c>
      <c r="C153" s="750" t="s">
        <v>17</v>
      </c>
      <c r="D153" s="751" t="s">
        <v>376</v>
      </c>
      <c r="E153" s="756">
        <v>52.1</v>
      </c>
      <c r="F153" s="757">
        <f t="shared" si="8"/>
        <v>560.79918999999995</v>
      </c>
      <c r="G153" s="750" t="s">
        <v>351</v>
      </c>
      <c r="H153" s="758">
        <v>1</v>
      </c>
      <c r="I153" s="751" t="str">
        <f>IF('Plot By Plot SoA'!Q178=0,"-",'Plot By Plot SoA'!Q178)</f>
        <v>-</v>
      </c>
      <c r="J153" s="750" t="s">
        <v>362</v>
      </c>
      <c r="K153" s="751" t="str">
        <f>IF('Plot By Plot SoA'!K178=0,"-",'Plot By Plot SoA'!K178)</f>
        <v>Shared Garden</v>
      </c>
      <c r="L153" s="755" t="s">
        <v>79</v>
      </c>
    </row>
    <row r="154" spans="1:12" x14ac:dyDescent="0.35">
      <c r="A154" s="894"/>
      <c r="B154" s="750">
        <v>149</v>
      </c>
      <c r="C154" s="750" t="s">
        <v>16</v>
      </c>
      <c r="D154" s="751" t="s">
        <v>377</v>
      </c>
      <c r="E154" s="756">
        <v>70</v>
      </c>
      <c r="F154" s="757">
        <f t="shared" si="8"/>
        <v>753.47299999999996</v>
      </c>
      <c r="G154" s="750" t="s">
        <v>347</v>
      </c>
      <c r="H154" s="759">
        <v>2</v>
      </c>
      <c r="I154" s="751" t="str">
        <f>IF('Plot By Plot SoA'!Q179=0,"-",'Plot By Plot SoA'!Q179)</f>
        <v>-</v>
      </c>
      <c r="J154" s="750" t="s">
        <v>362</v>
      </c>
      <c r="K154" s="751" t="str">
        <f>IF('Plot By Plot SoA'!K179=0,"-",'Plot By Plot SoA'!K179)</f>
        <v>Shared Garden</v>
      </c>
      <c r="L154" s="755" t="s">
        <v>79</v>
      </c>
    </row>
    <row r="155" spans="1:12" x14ac:dyDescent="0.35">
      <c r="A155" s="894"/>
      <c r="B155" s="750">
        <v>150</v>
      </c>
      <c r="C155" s="750" t="s">
        <v>17</v>
      </c>
      <c r="D155" s="751" t="s">
        <v>378</v>
      </c>
      <c r="E155" s="756">
        <v>38.200000000000003</v>
      </c>
      <c r="F155" s="757">
        <f t="shared" si="8"/>
        <v>411.18098000000003</v>
      </c>
      <c r="G155" s="750" t="s">
        <v>351</v>
      </c>
      <c r="H155" s="759">
        <v>1</v>
      </c>
      <c r="I155" s="751" t="str">
        <f>IF('Plot By Plot SoA'!Q180=0,"-",'Plot By Plot SoA'!Q180)</f>
        <v>-</v>
      </c>
      <c r="J155" s="750" t="s">
        <v>362</v>
      </c>
      <c r="K155" s="751" t="str">
        <f>IF('Plot By Plot SoA'!K180=0,"-",'Plot By Plot SoA'!K180)</f>
        <v>Balcony</v>
      </c>
      <c r="L155" s="755">
        <v>76</v>
      </c>
    </row>
    <row r="156" spans="1:12" x14ac:dyDescent="0.35">
      <c r="A156" s="894"/>
      <c r="B156" s="750">
        <v>151</v>
      </c>
      <c r="C156" s="750" t="s">
        <v>17</v>
      </c>
      <c r="D156" s="751" t="s">
        <v>378</v>
      </c>
      <c r="E156" s="756">
        <v>52.1</v>
      </c>
      <c r="F156" s="757">
        <f t="shared" si="8"/>
        <v>560.79918999999995</v>
      </c>
      <c r="G156" s="750" t="s">
        <v>351</v>
      </c>
      <c r="H156" s="754">
        <v>1</v>
      </c>
      <c r="I156" s="751" t="str">
        <f>IF('Plot By Plot SoA'!Q181=0,"-",'Plot By Plot SoA'!Q181)</f>
        <v>-</v>
      </c>
      <c r="J156" s="750" t="s">
        <v>362</v>
      </c>
      <c r="K156" s="751" t="str">
        <f>IF('Plot By Plot SoA'!K181=0,"-",'Plot By Plot SoA'!K181)</f>
        <v>Shared Garden</v>
      </c>
      <c r="L156" s="755" t="s">
        <v>79</v>
      </c>
    </row>
    <row r="157" spans="1:12" x14ac:dyDescent="0.35">
      <c r="A157" s="894"/>
      <c r="B157" s="750">
        <v>152</v>
      </c>
      <c r="C157" s="750" t="s">
        <v>17</v>
      </c>
      <c r="D157" s="751" t="s">
        <v>379</v>
      </c>
      <c r="E157" s="756">
        <v>38.200000000000003</v>
      </c>
      <c r="F157" s="757">
        <f t="shared" si="8"/>
        <v>411.18098000000003</v>
      </c>
      <c r="G157" s="750" t="s">
        <v>351</v>
      </c>
      <c r="H157" s="758">
        <v>1</v>
      </c>
      <c r="I157" s="751" t="str">
        <f>IF('Plot By Plot SoA'!Q182=0,"-",'Plot By Plot SoA'!Q182)</f>
        <v>-</v>
      </c>
      <c r="J157" s="750" t="s">
        <v>362</v>
      </c>
      <c r="K157" s="751" t="str">
        <f>IF('Plot By Plot SoA'!K182=0,"-",'Plot By Plot SoA'!K182)</f>
        <v>Balcony</v>
      </c>
      <c r="L157" s="755">
        <v>76</v>
      </c>
    </row>
    <row r="158" spans="1:12" x14ac:dyDescent="0.35">
      <c r="A158" s="894"/>
      <c r="B158" s="750">
        <v>153</v>
      </c>
      <c r="C158" s="750" t="s">
        <v>17</v>
      </c>
      <c r="D158" s="751" t="s">
        <v>379</v>
      </c>
      <c r="E158" s="756">
        <v>49.8</v>
      </c>
      <c r="F158" s="757">
        <f t="shared" si="8"/>
        <v>536.04221999999993</v>
      </c>
      <c r="G158" s="750" t="s">
        <v>351</v>
      </c>
      <c r="H158" s="759">
        <v>1</v>
      </c>
      <c r="I158" s="751" t="str">
        <f>IF('Plot By Plot SoA'!Q183=0,"-",'Plot By Plot SoA'!Q183)</f>
        <v>-</v>
      </c>
      <c r="J158" s="750" t="s">
        <v>362</v>
      </c>
      <c r="K158" s="751" t="str">
        <f>IF('Plot By Plot SoA'!K183=0,"-",'Plot By Plot SoA'!K183)</f>
        <v>Shared Garden</v>
      </c>
      <c r="L158" s="755" t="s">
        <v>79</v>
      </c>
    </row>
    <row r="159" spans="1:12" x14ac:dyDescent="0.35">
      <c r="A159" s="894"/>
      <c r="B159" s="750">
        <v>154</v>
      </c>
      <c r="C159" s="750" t="s">
        <v>17</v>
      </c>
      <c r="D159" s="751" t="s">
        <v>380</v>
      </c>
      <c r="E159" s="756">
        <v>37.200000000000003</v>
      </c>
      <c r="F159" s="757">
        <f t="shared" si="8"/>
        <v>400.41708</v>
      </c>
      <c r="G159" s="750" t="s">
        <v>351</v>
      </c>
      <c r="H159" s="759">
        <v>1</v>
      </c>
      <c r="I159" s="751" t="str">
        <f>IF('Plot By Plot SoA'!Q184=0,"-",'Plot By Plot SoA'!Q184)</f>
        <v>-</v>
      </c>
      <c r="J159" s="750" t="s">
        <v>362</v>
      </c>
      <c r="K159" s="751" t="str">
        <f>IF('Plot By Plot SoA'!K184=0,"-",'Plot By Plot SoA'!K184)</f>
        <v>Balcony</v>
      </c>
      <c r="L159" s="755">
        <v>44</v>
      </c>
    </row>
    <row r="160" spans="1:12" x14ac:dyDescent="0.35">
      <c r="A160" s="894"/>
      <c r="B160" s="750">
        <v>155</v>
      </c>
      <c r="C160" s="750" t="s">
        <v>17</v>
      </c>
      <c r="D160" s="751" t="s">
        <v>380</v>
      </c>
      <c r="E160" s="756">
        <v>49.8</v>
      </c>
      <c r="F160" s="757">
        <f t="shared" si="8"/>
        <v>536.04221999999993</v>
      </c>
      <c r="G160" s="750" t="s">
        <v>351</v>
      </c>
      <c r="H160" s="759">
        <v>1</v>
      </c>
      <c r="I160" s="751" t="str">
        <f>IF('Plot By Plot SoA'!Q185=0,"-",'Plot By Plot SoA'!Q185)</f>
        <v>-</v>
      </c>
      <c r="J160" s="750" t="s">
        <v>362</v>
      </c>
      <c r="K160" s="751" t="str">
        <f>IF('Plot By Plot SoA'!K185=0,"-",'Plot By Plot SoA'!K185)</f>
        <v>Shared Garden</v>
      </c>
      <c r="L160" s="755" t="s">
        <v>79</v>
      </c>
    </row>
    <row r="161" spans="1:12" x14ac:dyDescent="0.35">
      <c r="A161" s="894"/>
      <c r="B161" s="750">
        <v>156</v>
      </c>
      <c r="C161" s="750" t="s">
        <v>51</v>
      </c>
      <c r="D161" s="751" t="s">
        <v>372</v>
      </c>
      <c r="E161" s="756">
        <v>70.099999999999994</v>
      </c>
      <c r="F161" s="757">
        <f t="shared" si="8"/>
        <v>754.5493899999999</v>
      </c>
      <c r="G161" s="750" t="s">
        <v>347</v>
      </c>
      <c r="H161" s="754">
        <v>2</v>
      </c>
      <c r="I161" s="751" t="str">
        <f>IF('Plot By Plot SoA'!Q186=0,"-",'Plot By Plot SoA'!Q186)</f>
        <v>-</v>
      </c>
      <c r="J161" s="750" t="s">
        <v>362</v>
      </c>
      <c r="K161" s="751" t="str">
        <f>IF('Plot By Plot SoA'!K186=0,"-",'Plot By Plot SoA'!K186)</f>
        <v>Shared Garden</v>
      </c>
      <c r="L161" s="755" t="s">
        <v>79</v>
      </c>
    </row>
    <row r="162" spans="1:12" x14ac:dyDescent="0.35">
      <c r="A162" s="894"/>
      <c r="B162" s="750">
        <v>157</v>
      </c>
      <c r="C162" s="750" t="s">
        <v>51</v>
      </c>
      <c r="D162" s="751" t="s">
        <v>372</v>
      </c>
      <c r="E162" s="756">
        <v>49</v>
      </c>
      <c r="F162" s="757">
        <f t="shared" si="8"/>
        <v>527.43110000000001</v>
      </c>
      <c r="G162" s="750" t="s">
        <v>351</v>
      </c>
      <c r="H162" s="754">
        <v>2</v>
      </c>
      <c r="I162" s="751" t="str">
        <f>IF('Plot By Plot SoA'!Q187=0,"-",'Plot By Plot SoA'!Q187)</f>
        <v>-</v>
      </c>
      <c r="J162" s="750" t="s">
        <v>362</v>
      </c>
      <c r="K162" s="751" t="str">
        <f>IF('Plot By Plot SoA'!K187=0,"-",'Plot By Plot SoA'!K187)</f>
        <v>Community Amenity</v>
      </c>
      <c r="L162" s="755" t="s">
        <v>79</v>
      </c>
    </row>
    <row r="163" spans="1:12" x14ac:dyDescent="0.35">
      <c r="A163" s="894"/>
      <c r="B163" s="750">
        <v>158</v>
      </c>
      <c r="C163" s="750" t="s">
        <v>16</v>
      </c>
      <c r="D163" s="751" t="s">
        <v>373</v>
      </c>
      <c r="E163" s="756">
        <v>49</v>
      </c>
      <c r="F163" s="757">
        <f t="shared" si="8"/>
        <v>527.43110000000001</v>
      </c>
      <c r="G163" s="750" t="s">
        <v>351</v>
      </c>
      <c r="H163" s="754">
        <v>2</v>
      </c>
      <c r="I163" s="751" t="str">
        <f>IF('Plot By Plot SoA'!Q188=0,"-",'Plot By Plot SoA'!Q188)</f>
        <v>-</v>
      </c>
      <c r="J163" s="750" t="s">
        <v>362</v>
      </c>
      <c r="K163" s="751" t="str">
        <f>IF('Plot By Plot SoA'!K188=0,"-",'Plot By Plot SoA'!K188)</f>
        <v>Roof Terrace</v>
      </c>
      <c r="L163" s="755">
        <v>57</v>
      </c>
    </row>
    <row r="164" spans="1:12" x14ac:dyDescent="0.35">
      <c r="A164" s="894"/>
      <c r="B164" s="750">
        <v>159</v>
      </c>
      <c r="C164" s="750" t="s">
        <v>16</v>
      </c>
      <c r="D164" s="751" t="s">
        <v>373</v>
      </c>
      <c r="E164" s="756">
        <v>85.2</v>
      </c>
      <c r="F164" s="757">
        <f t="shared" si="8"/>
        <v>917.08428000000004</v>
      </c>
      <c r="G164" s="750" t="s">
        <v>349</v>
      </c>
      <c r="H164" s="759">
        <v>2</v>
      </c>
      <c r="I164" s="751" t="str">
        <f>IF('Plot By Plot SoA'!Q189=0,"-",'Plot By Plot SoA'!Q189)</f>
        <v>-</v>
      </c>
      <c r="J164" s="750" t="s">
        <v>362</v>
      </c>
      <c r="K164" s="751" t="str">
        <f>IF('Plot By Plot SoA'!K189=0,"-",'Plot By Plot SoA'!K189)</f>
        <v>Roof Terrace</v>
      </c>
      <c r="L164" s="755">
        <v>57</v>
      </c>
    </row>
    <row r="165" spans="1:12" x14ac:dyDescent="0.35">
      <c r="A165" s="894"/>
      <c r="B165" s="750">
        <v>160</v>
      </c>
      <c r="C165" s="750" t="s">
        <v>51</v>
      </c>
      <c r="D165" s="751" t="s">
        <v>372</v>
      </c>
      <c r="E165" s="756">
        <v>83.8</v>
      </c>
      <c r="F165" s="757">
        <f t="shared" si="8"/>
        <v>902.01481999999999</v>
      </c>
      <c r="G165" s="750" t="s">
        <v>349</v>
      </c>
      <c r="H165" s="759">
        <v>2</v>
      </c>
      <c r="I165" s="751" t="str">
        <f>IF('Plot By Plot SoA'!Q190=0,"-",'Plot By Plot SoA'!Q190)</f>
        <v>-</v>
      </c>
      <c r="J165" s="750" t="s">
        <v>362</v>
      </c>
      <c r="K165" s="751" t="str">
        <f>IF('Plot By Plot SoA'!K190=0,"-",'Plot By Plot SoA'!K190)</f>
        <v>Community Amenity</v>
      </c>
      <c r="L165" s="755" t="s">
        <v>79</v>
      </c>
    </row>
    <row r="166" spans="1:12" x14ac:dyDescent="0.35">
      <c r="A166" s="894"/>
      <c r="B166" s="750">
        <v>161</v>
      </c>
      <c r="C166" s="750" t="s">
        <v>51</v>
      </c>
      <c r="D166" s="751" t="s">
        <v>372</v>
      </c>
      <c r="E166" s="756">
        <v>79.599999999999994</v>
      </c>
      <c r="F166" s="757">
        <f t="shared" si="8"/>
        <v>856.80643999999995</v>
      </c>
      <c r="G166" s="750" t="s">
        <v>349</v>
      </c>
      <c r="H166" s="759">
        <v>2</v>
      </c>
      <c r="I166" s="751" t="str">
        <f>IF('Plot By Plot SoA'!Q191=0,"-",'Plot By Plot SoA'!Q191)</f>
        <v>-</v>
      </c>
      <c r="J166" s="750" t="s">
        <v>362</v>
      </c>
      <c r="K166" s="751" t="str">
        <f>IF('Plot By Plot SoA'!K191=0,"-",'Plot By Plot SoA'!K191)</f>
        <v>Private Front Garden</v>
      </c>
      <c r="L166" s="755">
        <v>64</v>
      </c>
    </row>
    <row r="167" spans="1:12" x14ac:dyDescent="0.35">
      <c r="A167" s="894"/>
      <c r="B167" s="750">
        <v>162</v>
      </c>
      <c r="C167" s="750" t="s">
        <v>17</v>
      </c>
      <c r="D167" s="751" t="s">
        <v>376</v>
      </c>
      <c r="E167" s="756">
        <v>79.599999999999994</v>
      </c>
      <c r="F167" s="757">
        <f t="shared" si="8"/>
        <v>856.80643999999995</v>
      </c>
      <c r="G167" s="750" t="s">
        <v>349</v>
      </c>
      <c r="H167" s="759">
        <v>2</v>
      </c>
      <c r="I167" s="751" t="str">
        <f>IF('Plot By Plot SoA'!Q192=0,"-",'Plot By Plot SoA'!Q192)</f>
        <v>-</v>
      </c>
      <c r="J167" s="750" t="s">
        <v>362</v>
      </c>
      <c r="K167" s="751" t="str">
        <f>IF('Plot By Plot SoA'!K192=0,"-",'Plot By Plot SoA'!K192)</f>
        <v>Roof Terrace</v>
      </c>
      <c r="L167" s="755">
        <v>57</v>
      </c>
    </row>
    <row r="168" spans="1:12" x14ac:dyDescent="0.35">
      <c r="A168" s="894"/>
      <c r="B168" s="750">
        <v>163</v>
      </c>
      <c r="C168" s="750" t="s">
        <v>17</v>
      </c>
      <c r="D168" s="751" t="s">
        <v>376</v>
      </c>
      <c r="E168" s="756">
        <v>80</v>
      </c>
      <c r="F168" s="757">
        <f t="shared" si="8"/>
        <v>861.11199999999997</v>
      </c>
      <c r="G168" s="750" t="s">
        <v>347</v>
      </c>
      <c r="H168" s="759">
        <v>2</v>
      </c>
      <c r="I168" s="751" t="str">
        <f>IF('Plot By Plot SoA'!Q193=0,"-",'Plot By Plot SoA'!Q193)</f>
        <v>Y</v>
      </c>
      <c r="J168" s="750" t="s">
        <v>362</v>
      </c>
      <c r="K168" s="751" t="str">
        <f>IF('Plot By Plot SoA'!K193=0,"-",'Plot By Plot SoA'!K193)</f>
        <v>Roof Terrace</v>
      </c>
      <c r="L168" s="755">
        <v>57</v>
      </c>
    </row>
    <row r="169" spans="1:12" x14ac:dyDescent="0.35">
      <c r="A169" s="895" t="s">
        <v>26</v>
      </c>
      <c r="B169" s="688">
        <v>164</v>
      </c>
      <c r="C169" s="688" t="s">
        <v>51</v>
      </c>
      <c r="D169" s="689" t="s">
        <v>372</v>
      </c>
      <c r="E169" s="690">
        <v>80</v>
      </c>
      <c r="F169" s="691">
        <f t="shared" si="8"/>
        <v>861.11199999999997</v>
      </c>
      <c r="G169" s="688" t="s">
        <v>349</v>
      </c>
      <c r="H169" s="692">
        <v>2</v>
      </c>
      <c r="I169" s="689" t="str">
        <f>IF('Plot By Plot SoA'!Q194=0,"-",'Plot By Plot SoA'!Q194)</f>
        <v>-</v>
      </c>
      <c r="J169" s="688" t="s">
        <v>361</v>
      </c>
      <c r="K169" s="689" t="str">
        <f>IF('Plot By Plot SoA'!K194=0,"-",'Plot By Plot SoA'!K194)</f>
        <v>Community Amenity</v>
      </c>
      <c r="L169" s="693" t="s">
        <v>79</v>
      </c>
    </row>
    <row r="170" spans="1:12" x14ac:dyDescent="0.35">
      <c r="A170" s="896"/>
      <c r="B170" s="688">
        <v>165</v>
      </c>
      <c r="C170" s="688" t="s">
        <v>346</v>
      </c>
      <c r="D170" s="689" t="s">
        <v>374</v>
      </c>
      <c r="E170" s="690">
        <v>43.2</v>
      </c>
      <c r="F170" s="691">
        <f t="shared" si="8"/>
        <v>465.00048000000004</v>
      </c>
      <c r="G170" s="688" t="s">
        <v>351</v>
      </c>
      <c r="H170" s="692">
        <v>1</v>
      </c>
      <c r="I170" s="689" t="str">
        <f>IF('Plot By Plot SoA'!Q195=0,"-",'Plot By Plot SoA'!Q195)</f>
        <v>-</v>
      </c>
      <c r="J170" s="688" t="s">
        <v>362</v>
      </c>
      <c r="K170" s="689" t="str">
        <f>IF('Plot By Plot SoA'!K195=0,"-",'Plot By Plot SoA'!K195)</f>
        <v>Community Amenity</v>
      </c>
      <c r="L170" s="693" t="s">
        <v>79</v>
      </c>
    </row>
    <row r="171" spans="1:12" x14ac:dyDescent="0.35">
      <c r="A171" s="896"/>
      <c r="B171" s="688">
        <v>166</v>
      </c>
      <c r="C171" s="688" t="s">
        <v>17</v>
      </c>
      <c r="D171" s="689" t="s">
        <v>391</v>
      </c>
      <c r="E171" s="690">
        <v>71.7</v>
      </c>
      <c r="F171" s="691">
        <f t="shared" si="8"/>
        <v>771.77162999999996</v>
      </c>
      <c r="G171" s="688" t="s">
        <v>349</v>
      </c>
      <c r="H171" s="692">
        <v>1</v>
      </c>
      <c r="I171" s="689" t="str">
        <f>IF('Plot By Plot SoA'!Q196=0,"-",'Plot By Plot SoA'!Q196)</f>
        <v>-</v>
      </c>
      <c r="J171" s="688" t="s">
        <v>361</v>
      </c>
      <c r="K171" s="689" t="str">
        <f>IF('Plot By Plot SoA'!K196=0,"-",'Plot By Plot SoA'!K196)</f>
        <v>Private Front Garden</v>
      </c>
      <c r="L171" s="693">
        <v>76</v>
      </c>
    </row>
    <row r="172" spans="1:12" x14ac:dyDescent="0.35">
      <c r="A172" s="896"/>
      <c r="B172" s="688">
        <v>167</v>
      </c>
      <c r="C172" s="688" t="s">
        <v>17</v>
      </c>
      <c r="D172" s="689" t="s">
        <v>375</v>
      </c>
      <c r="E172" s="690">
        <v>52.3</v>
      </c>
      <c r="F172" s="691">
        <f t="shared" si="8"/>
        <v>562.95196999999996</v>
      </c>
      <c r="G172" s="688" t="s">
        <v>351</v>
      </c>
      <c r="H172" s="692">
        <v>1</v>
      </c>
      <c r="I172" s="689" t="str">
        <f>IF('Plot By Plot SoA'!Q197=0,"-",'Plot By Plot SoA'!Q197)</f>
        <v>-</v>
      </c>
      <c r="J172" s="688" t="s">
        <v>362</v>
      </c>
      <c r="K172" s="689" t="str">
        <f>IF('Plot By Plot SoA'!K197=0,"-",'Plot By Plot SoA'!K197)</f>
        <v>Community Amenity</v>
      </c>
      <c r="L172" s="693" t="s">
        <v>79</v>
      </c>
    </row>
    <row r="173" spans="1:12" x14ac:dyDescent="0.35">
      <c r="A173" s="896"/>
      <c r="B173" s="688">
        <v>168</v>
      </c>
      <c r="C173" s="688" t="s">
        <v>17</v>
      </c>
      <c r="D173" s="689" t="s">
        <v>375</v>
      </c>
      <c r="E173" s="690">
        <v>71.7</v>
      </c>
      <c r="F173" s="691">
        <f t="shared" si="8"/>
        <v>771.77162999999996</v>
      </c>
      <c r="G173" s="688" t="s">
        <v>349</v>
      </c>
      <c r="H173" s="692">
        <v>1</v>
      </c>
      <c r="I173" s="689" t="str">
        <f>IF('Plot By Plot SoA'!Q198=0,"-",'Plot By Plot SoA'!Q198)</f>
        <v>-</v>
      </c>
      <c r="J173" s="688" t="s">
        <v>362</v>
      </c>
      <c r="K173" s="689" t="str">
        <f>IF('Plot By Plot SoA'!K198=0,"-",'Plot By Plot SoA'!K198)</f>
        <v>Balcony</v>
      </c>
      <c r="L173" s="693">
        <v>128</v>
      </c>
    </row>
    <row r="174" spans="1:12" x14ac:dyDescent="0.35">
      <c r="A174" s="896"/>
      <c r="B174" s="688">
        <v>169</v>
      </c>
      <c r="C174" s="688" t="s">
        <v>17</v>
      </c>
      <c r="D174" s="689" t="s">
        <v>376</v>
      </c>
      <c r="E174" s="690">
        <v>52.3</v>
      </c>
      <c r="F174" s="691">
        <f t="shared" si="8"/>
        <v>562.95196999999996</v>
      </c>
      <c r="G174" s="688" t="s">
        <v>351</v>
      </c>
      <c r="H174" s="692">
        <v>1</v>
      </c>
      <c r="I174" s="689" t="str">
        <f>IF('Plot By Plot SoA'!Q199=0,"-",'Plot By Plot SoA'!Q199)</f>
        <v>-</v>
      </c>
      <c r="J174" s="688" t="s">
        <v>362</v>
      </c>
      <c r="K174" s="689" t="str">
        <f>IF('Plot By Plot SoA'!K199=0,"-",'Plot By Plot SoA'!K199)</f>
        <v>Community Amenity</v>
      </c>
      <c r="L174" s="693" t="s">
        <v>79</v>
      </c>
    </row>
    <row r="175" spans="1:12" x14ac:dyDescent="0.35">
      <c r="A175" s="896"/>
      <c r="B175" s="688">
        <v>170</v>
      </c>
      <c r="C175" s="688" t="s">
        <v>17</v>
      </c>
      <c r="D175" s="689" t="s">
        <v>376</v>
      </c>
      <c r="E175" s="690">
        <v>71.7</v>
      </c>
      <c r="F175" s="691">
        <f t="shared" si="8"/>
        <v>771.77162999999996</v>
      </c>
      <c r="G175" s="688" t="s">
        <v>349</v>
      </c>
      <c r="H175" s="692">
        <v>1</v>
      </c>
      <c r="I175" s="689" t="str">
        <f>IF('Plot By Plot SoA'!Q200=0,"-",'Plot By Plot SoA'!Q200)</f>
        <v>-</v>
      </c>
      <c r="J175" s="688" t="s">
        <v>362</v>
      </c>
      <c r="K175" s="689" t="str">
        <f>IF('Plot By Plot SoA'!K200=0,"-",'Plot By Plot SoA'!K200)</f>
        <v>Balcony</v>
      </c>
      <c r="L175" s="693">
        <v>76</v>
      </c>
    </row>
    <row r="176" spans="1:12" x14ac:dyDescent="0.35">
      <c r="A176" s="896"/>
      <c r="B176" s="688">
        <v>171</v>
      </c>
      <c r="C176" s="688" t="s">
        <v>17</v>
      </c>
      <c r="D176" s="689" t="s">
        <v>378</v>
      </c>
      <c r="E176" s="690">
        <v>52.3</v>
      </c>
      <c r="F176" s="691">
        <f t="shared" si="8"/>
        <v>562.95196999999996</v>
      </c>
      <c r="G176" s="688" t="s">
        <v>351</v>
      </c>
      <c r="H176" s="692">
        <v>1</v>
      </c>
      <c r="I176" s="689" t="str">
        <f>IF('Plot By Plot SoA'!Q201=0,"-",'Plot By Plot SoA'!Q201)</f>
        <v>-</v>
      </c>
      <c r="J176" s="688" t="s">
        <v>362</v>
      </c>
      <c r="K176" s="689" t="str">
        <f>IF('Plot By Plot SoA'!K201=0,"-",'Plot By Plot SoA'!K201)</f>
        <v>Community Amenity</v>
      </c>
      <c r="L176" s="693" t="s">
        <v>79</v>
      </c>
    </row>
    <row r="177" spans="1:12" x14ac:dyDescent="0.35">
      <c r="A177" s="896"/>
      <c r="B177" s="688">
        <v>172</v>
      </c>
      <c r="C177" s="688" t="s">
        <v>17</v>
      </c>
      <c r="D177" s="689" t="s">
        <v>378</v>
      </c>
      <c r="E177" s="690">
        <v>71.7</v>
      </c>
      <c r="F177" s="691">
        <f t="shared" si="8"/>
        <v>771.77162999999996</v>
      </c>
      <c r="G177" s="688" t="s">
        <v>349</v>
      </c>
      <c r="H177" s="692">
        <v>1</v>
      </c>
      <c r="I177" s="689" t="str">
        <f>IF('Plot By Plot SoA'!Q202=0,"-",'Plot By Plot SoA'!Q202)</f>
        <v>-</v>
      </c>
      <c r="J177" s="688" t="s">
        <v>362</v>
      </c>
      <c r="K177" s="689" t="str">
        <f>IF('Plot By Plot SoA'!K202=0,"-",'Plot By Plot SoA'!K202)</f>
        <v>Balcony</v>
      </c>
      <c r="L177" s="693">
        <v>76</v>
      </c>
    </row>
    <row r="178" spans="1:12" x14ac:dyDescent="0.35">
      <c r="A178" s="896"/>
      <c r="B178" s="688">
        <v>173</v>
      </c>
      <c r="C178" s="688" t="s">
        <v>17</v>
      </c>
      <c r="D178" s="689" t="s">
        <v>379</v>
      </c>
      <c r="E178" s="690">
        <v>71.7</v>
      </c>
      <c r="F178" s="691">
        <f t="shared" si="8"/>
        <v>771.77162999999996</v>
      </c>
      <c r="G178" s="688" t="s">
        <v>349</v>
      </c>
      <c r="H178" s="692">
        <v>1</v>
      </c>
      <c r="I178" s="689" t="str">
        <f>IF('Plot By Plot SoA'!Q203=0,"-",'Plot By Plot SoA'!Q203)</f>
        <v>-</v>
      </c>
      <c r="J178" s="688" t="s">
        <v>362</v>
      </c>
      <c r="K178" s="689" t="str">
        <f>IF('Plot By Plot SoA'!K203=0,"-",'Plot By Plot SoA'!K203)</f>
        <v>Balcony</v>
      </c>
      <c r="L178" s="693">
        <v>76</v>
      </c>
    </row>
    <row r="179" spans="1:12" x14ac:dyDescent="0.35">
      <c r="A179" s="896"/>
      <c r="B179" s="688">
        <v>174</v>
      </c>
      <c r="C179" s="688" t="s">
        <v>346</v>
      </c>
      <c r="D179" s="689" t="s">
        <v>374</v>
      </c>
      <c r="E179" s="690">
        <v>54.3</v>
      </c>
      <c r="F179" s="691">
        <f t="shared" si="8"/>
        <v>584.47976999999992</v>
      </c>
      <c r="G179" s="688" t="s">
        <v>351</v>
      </c>
      <c r="H179" s="692">
        <v>1</v>
      </c>
      <c r="I179" s="689" t="str">
        <f>IF('Plot By Plot SoA'!Q204=0,"-",'Plot By Plot SoA'!Q204)</f>
        <v>-</v>
      </c>
      <c r="J179" s="688" t="s">
        <v>362</v>
      </c>
      <c r="K179" s="689" t="str">
        <f>IF('Plot By Plot SoA'!K204=0,"-",'Plot By Plot SoA'!K204)</f>
        <v>Frontage Amenity</v>
      </c>
      <c r="L179" s="693">
        <v>83</v>
      </c>
    </row>
    <row r="180" spans="1:12" x14ac:dyDescent="0.35">
      <c r="A180" s="896"/>
      <c r="B180" s="688">
        <v>175</v>
      </c>
      <c r="C180" s="688" t="s">
        <v>17</v>
      </c>
      <c r="D180" s="689" t="s">
        <v>375</v>
      </c>
      <c r="E180" s="690">
        <v>54.3</v>
      </c>
      <c r="F180" s="691">
        <f t="shared" si="8"/>
        <v>584.47976999999992</v>
      </c>
      <c r="G180" s="688" t="s">
        <v>351</v>
      </c>
      <c r="H180" s="692">
        <v>1</v>
      </c>
      <c r="I180" s="689" t="str">
        <f>IF('Plot By Plot SoA'!Q205=0,"-",'Plot By Plot SoA'!Q205)</f>
        <v>-</v>
      </c>
      <c r="J180" s="688" t="s">
        <v>362</v>
      </c>
      <c r="K180" s="689" t="str">
        <f>IF('Plot By Plot SoA'!K205=0,"-",'Plot By Plot SoA'!K205)</f>
        <v>Community Amenity</v>
      </c>
      <c r="L180" s="693" t="s">
        <v>79</v>
      </c>
    </row>
    <row r="181" spans="1:12" x14ac:dyDescent="0.35">
      <c r="A181" s="896"/>
      <c r="B181" s="688">
        <v>176</v>
      </c>
      <c r="C181" s="688" t="s">
        <v>17</v>
      </c>
      <c r="D181" s="689" t="s">
        <v>375</v>
      </c>
      <c r="E181" s="690">
        <v>54.7</v>
      </c>
      <c r="F181" s="691">
        <f t="shared" si="8"/>
        <v>588.78533000000004</v>
      </c>
      <c r="G181" s="688" t="s">
        <v>351</v>
      </c>
      <c r="H181" s="692">
        <v>1</v>
      </c>
      <c r="I181" s="689" t="str">
        <f>IF('Plot By Plot SoA'!Q206=0,"-",'Plot By Plot SoA'!Q206)</f>
        <v>-</v>
      </c>
      <c r="J181" s="688" t="s">
        <v>362</v>
      </c>
      <c r="K181" s="689" t="str">
        <f>IF('Plot By Plot SoA'!K206=0,"-",'Plot By Plot SoA'!K206)</f>
        <v>Balcony</v>
      </c>
      <c r="L181" s="693">
        <v>107</v>
      </c>
    </row>
    <row r="182" spans="1:12" x14ac:dyDescent="0.35">
      <c r="A182" s="896"/>
      <c r="B182" s="688">
        <v>177</v>
      </c>
      <c r="C182" s="688" t="s">
        <v>17</v>
      </c>
      <c r="D182" s="689" t="s">
        <v>376</v>
      </c>
      <c r="E182" s="690">
        <v>54.3</v>
      </c>
      <c r="F182" s="691">
        <f t="shared" si="8"/>
        <v>584.47976999999992</v>
      </c>
      <c r="G182" s="688" t="s">
        <v>351</v>
      </c>
      <c r="H182" s="692">
        <v>1</v>
      </c>
      <c r="I182" s="689" t="str">
        <f>IF('Plot By Plot SoA'!Q207=0,"-",'Plot By Plot SoA'!Q207)</f>
        <v>-</v>
      </c>
      <c r="J182" s="688" t="s">
        <v>362</v>
      </c>
      <c r="K182" s="689" t="str">
        <f>IF('Plot By Plot SoA'!K207=0,"-",'Plot By Plot SoA'!K207)</f>
        <v>Community Amenity</v>
      </c>
      <c r="L182" s="693" t="s">
        <v>79</v>
      </c>
    </row>
    <row r="183" spans="1:12" x14ac:dyDescent="0.35">
      <c r="A183" s="896"/>
      <c r="B183" s="688">
        <v>178</v>
      </c>
      <c r="C183" s="688" t="s">
        <v>17</v>
      </c>
      <c r="D183" s="689" t="s">
        <v>376</v>
      </c>
      <c r="E183" s="690">
        <v>54.7</v>
      </c>
      <c r="F183" s="691">
        <f t="shared" si="8"/>
        <v>588.78533000000004</v>
      </c>
      <c r="G183" s="688" t="s">
        <v>351</v>
      </c>
      <c r="H183" s="692">
        <v>1</v>
      </c>
      <c r="I183" s="689" t="str">
        <f>IF('Plot By Plot SoA'!Q208=0,"-",'Plot By Plot SoA'!Q208)</f>
        <v>-</v>
      </c>
      <c r="J183" s="688" t="s">
        <v>362</v>
      </c>
      <c r="K183" s="689" t="str">
        <f>IF('Plot By Plot SoA'!K208=0,"-",'Plot By Plot SoA'!K208)</f>
        <v>Balcony</v>
      </c>
      <c r="L183" s="693">
        <v>107</v>
      </c>
    </row>
    <row r="184" spans="1:12" x14ac:dyDescent="0.35">
      <c r="A184" s="896"/>
      <c r="B184" s="688">
        <v>179</v>
      </c>
      <c r="C184" s="688" t="s">
        <v>17</v>
      </c>
      <c r="D184" s="689" t="s">
        <v>378</v>
      </c>
      <c r="E184" s="690">
        <v>54.3</v>
      </c>
      <c r="F184" s="691">
        <f t="shared" si="8"/>
        <v>584.47976999999992</v>
      </c>
      <c r="G184" s="688" t="s">
        <v>351</v>
      </c>
      <c r="H184" s="692">
        <v>1</v>
      </c>
      <c r="I184" s="689" t="str">
        <f>IF('Plot By Plot SoA'!Q209=0,"-",'Plot By Plot SoA'!Q209)</f>
        <v>-</v>
      </c>
      <c r="J184" s="688" t="s">
        <v>362</v>
      </c>
      <c r="K184" s="689" t="str">
        <f>IF('Plot By Plot SoA'!K209=0,"-",'Plot By Plot SoA'!K209)</f>
        <v>Community Amenity</v>
      </c>
      <c r="L184" s="693" t="s">
        <v>79</v>
      </c>
    </row>
    <row r="185" spans="1:12" x14ac:dyDescent="0.35">
      <c r="A185" s="896"/>
      <c r="B185" s="688">
        <v>180</v>
      </c>
      <c r="C185" s="688" t="s">
        <v>17</v>
      </c>
      <c r="D185" s="689" t="s">
        <v>378</v>
      </c>
      <c r="E185" s="690">
        <v>54.7</v>
      </c>
      <c r="F185" s="691">
        <f t="shared" si="8"/>
        <v>588.78533000000004</v>
      </c>
      <c r="G185" s="688" t="s">
        <v>351</v>
      </c>
      <c r="H185" s="692">
        <v>1</v>
      </c>
      <c r="I185" s="689" t="str">
        <f>IF('Plot By Plot SoA'!Q210=0,"-",'Plot By Plot SoA'!Q210)</f>
        <v>-</v>
      </c>
      <c r="J185" s="688" t="s">
        <v>362</v>
      </c>
      <c r="K185" s="689" t="str">
        <f>IF('Plot By Plot SoA'!K210=0,"-",'Plot By Plot SoA'!K210)</f>
        <v>Community Amenity</v>
      </c>
      <c r="L185" s="693">
        <v>107</v>
      </c>
    </row>
    <row r="186" spans="1:12" x14ac:dyDescent="0.35">
      <c r="A186" s="896"/>
      <c r="B186" s="688">
        <v>181</v>
      </c>
      <c r="C186" s="688" t="s">
        <v>17</v>
      </c>
      <c r="D186" s="689" t="s">
        <v>379</v>
      </c>
      <c r="E186" s="690">
        <v>54.7</v>
      </c>
      <c r="F186" s="691">
        <f t="shared" si="8"/>
        <v>588.78533000000004</v>
      </c>
      <c r="G186" s="688" t="s">
        <v>351</v>
      </c>
      <c r="H186" s="692">
        <v>1</v>
      </c>
      <c r="I186" s="689" t="str">
        <f>IF('Plot By Plot SoA'!Q211=0,"-",'Plot By Plot SoA'!Q211)</f>
        <v>-</v>
      </c>
      <c r="J186" s="688" t="s">
        <v>362</v>
      </c>
      <c r="K186" s="689" t="str">
        <f>IF('Plot By Plot SoA'!K211=0,"-",'Plot By Plot SoA'!K211)</f>
        <v>Balcony</v>
      </c>
      <c r="L186" s="693">
        <v>107</v>
      </c>
    </row>
    <row r="187" spans="1:12" x14ac:dyDescent="0.35">
      <c r="A187" s="896"/>
      <c r="B187" s="688">
        <v>182</v>
      </c>
      <c r="C187" s="688" t="s">
        <v>346</v>
      </c>
      <c r="D187" s="689" t="s">
        <v>374</v>
      </c>
      <c r="E187" s="690">
        <v>54.7</v>
      </c>
      <c r="F187" s="691">
        <f t="shared" si="8"/>
        <v>588.78533000000004</v>
      </c>
      <c r="G187" s="688" t="s">
        <v>351</v>
      </c>
      <c r="H187" s="692">
        <v>1</v>
      </c>
      <c r="I187" s="689" t="str">
        <f>IF('Plot By Plot SoA'!Q212=0,"-",'Plot By Plot SoA'!Q212)</f>
        <v>-</v>
      </c>
      <c r="J187" s="688" t="s">
        <v>362</v>
      </c>
      <c r="K187" s="689" t="str">
        <f>IF('Plot By Plot SoA'!K212=0,"-",'Plot By Plot SoA'!K212)</f>
        <v>Private Front Garden</v>
      </c>
      <c r="L187" s="693">
        <v>172</v>
      </c>
    </row>
    <row r="188" spans="1:12" x14ac:dyDescent="0.35">
      <c r="A188" s="896"/>
      <c r="B188" s="688">
        <v>183</v>
      </c>
      <c r="C188" s="688" t="s">
        <v>51</v>
      </c>
      <c r="D188" s="689" t="s">
        <v>372</v>
      </c>
      <c r="E188" s="690">
        <v>93.1</v>
      </c>
      <c r="F188" s="691">
        <f t="shared" si="8"/>
        <v>1002.1190899999999</v>
      </c>
      <c r="G188" s="688" t="s">
        <v>348</v>
      </c>
      <c r="H188" s="696">
        <v>2</v>
      </c>
      <c r="I188" s="689" t="str">
        <f>IF('Plot By Plot SoA'!Q213=0,"-",'Plot By Plot SoA'!Q213)</f>
        <v>-</v>
      </c>
      <c r="J188" s="688" t="s">
        <v>361</v>
      </c>
      <c r="K188" s="689" t="str">
        <f>IF('Plot By Plot SoA'!K213=0,"-",'Plot By Plot SoA'!K213)</f>
        <v>Community Amenity</v>
      </c>
      <c r="L188" s="693" t="s">
        <v>79</v>
      </c>
    </row>
    <row r="189" spans="1:12" x14ac:dyDescent="0.35">
      <c r="A189" s="896"/>
      <c r="B189" s="688">
        <v>184</v>
      </c>
      <c r="C189" s="688" t="s">
        <v>17</v>
      </c>
      <c r="D189" s="689" t="s">
        <v>375</v>
      </c>
      <c r="E189" s="690">
        <v>49.9</v>
      </c>
      <c r="F189" s="691">
        <f t="shared" si="8"/>
        <v>537.11860999999999</v>
      </c>
      <c r="G189" s="688" t="s">
        <v>351</v>
      </c>
      <c r="H189" s="692">
        <v>1</v>
      </c>
      <c r="I189" s="689" t="str">
        <f>IF('Plot By Plot SoA'!Q214=0,"-",'Plot By Plot SoA'!Q214)</f>
        <v>-</v>
      </c>
      <c r="J189" s="688" t="s">
        <v>362</v>
      </c>
      <c r="K189" s="689" t="str">
        <f>IF('Plot By Plot SoA'!K214=0,"-",'Plot By Plot SoA'!K214)</f>
        <v>Community Amenity</v>
      </c>
      <c r="L189" s="693" t="s">
        <v>79</v>
      </c>
    </row>
    <row r="190" spans="1:12" x14ac:dyDescent="0.35">
      <c r="A190" s="896"/>
      <c r="B190" s="688">
        <v>185</v>
      </c>
      <c r="C190" s="688" t="s">
        <v>17</v>
      </c>
      <c r="D190" s="689" t="s">
        <v>375</v>
      </c>
      <c r="E190" s="690">
        <v>51.7</v>
      </c>
      <c r="F190" s="691">
        <f t="shared" si="8"/>
        <v>556.49363000000005</v>
      </c>
      <c r="G190" s="688" t="s">
        <v>351</v>
      </c>
      <c r="H190" s="692">
        <v>1</v>
      </c>
      <c r="I190" s="689" t="str">
        <f>IF('Plot By Plot SoA'!Q215=0,"-",'Plot By Plot SoA'!Q215)</f>
        <v>-</v>
      </c>
      <c r="J190" s="688" t="s">
        <v>362</v>
      </c>
      <c r="K190" s="689" t="str">
        <f>IF('Plot By Plot SoA'!K215=0,"-",'Plot By Plot SoA'!K215)</f>
        <v>Community Amenity</v>
      </c>
      <c r="L190" s="693" t="s">
        <v>79</v>
      </c>
    </row>
    <row r="191" spans="1:12" x14ac:dyDescent="0.35">
      <c r="A191" s="896"/>
      <c r="B191" s="688">
        <v>186</v>
      </c>
      <c r="C191" s="688" t="s">
        <v>17</v>
      </c>
      <c r="D191" s="689" t="s">
        <v>375</v>
      </c>
      <c r="E191" s="690">
        <v>50.2</v>
      </c>
      <c r="F191" s="691">
        <f t="shared" si="8"/>
        <v>540.34778000000006</v>
      </c>
      <c r="G191" s="688" t="s">
        <v>351</v>
      </c>
      <c r="H191" s="692">
        <v>1</v>
      </c>
      <c r="I191" s="689" t="str">
        <f>IF('Plot By Plot SoA'!Q216=0,"-",'Plot By Plot SoA'!Q216)</f>
        <v>-</v>
      </c>
      <c r="J191" s="688" t="s">
        <v>362</v>
      </c>
      <c r="K191" s="689" t="str">
        <f>IF('Plot By Plot SoA'!K216=0,"-",'Plot By Plot SoA'!K216)</f>
        <v>Community Amenity</v>
      </c>
      <c r="L191" s="693" t="s">
        <v>79</v>
      </c>
    </row>
    <row r="192" spans="1:12" x14ac:dyDescent="0.35">
      <c r="A192" s="896"/>
      <c r="B192" s="688">
        <v>187</v>
      </c>
      <c r="C192" s="688" t="s">
        <v>17</v>
      </c>
      <c r="D192" s="689" t="s">
        <v>375</v>
      </c>
      <c r="E192" s="690">
        <v>53.6</v>
      </c>
      <c r="F192" s="691">
        <f t="shared" si="8"/>
        <v>576.94503999999995</v>
      </c>
      <c r="G192" s="688" t="s">
        <v>351</v>
      </c>
      <c r="H192" s="692">
        <v>1</v>
      </c>
      <c r="I192" s="689" t="str">
        <f>IF('Plot By Plot SoA'!Q217=0,"-",'Plot By Plot SoA'!Q217)</f>
        <v>-</v>
      </c>
      <c r="J192" s="688" t="s">
        <v>362</v>
      </c>
      <c r="K192" s="689" t="str">
        <f>IF('Plot By Plot SoA'!K217=0,"-",'Plot By Plot SoA'!K217)</f>
        <v>Balcony</v>
      </c>
      <c r="L192" s="693">
        <v>121</v>
      </c>
    </row>
    <row r="193" spans="1:12" x14ac:dyDescent="0.35">
      <c r="A193" s="896"/>
      <c r="B193" s="688">
        <v>188</v>
      </c>
      <c r="C193" s="688" t="s">
        <v>17</v>
      </c>
      <c r="D193" s="689" t="s">
        <v>375</v>
      </c>
      <c r="E193" s="690">
        <v>50.1</v>
      </c>
      <c r="F193" s="691">
        <f t="shared" si="8"/>
        <v>539.27139</v>
      </c>
      <c r="G193" s="688" t="s">
        <v>351</v>
      </c>
      <c r="H193" s="692">
        <v>1</v>
      </c>
      <c r="I193" s="689" t="str">
        <f>IF('Plot By Plot SoA'!Q218=0,"-",'Plot By Plot SoA'!Q218)</f>
        <v>-</v>
      </c>
      <c r="J193" s="688" t="s">
        <v>362</v>
      </c>
      <c r="K193" s="689" t="str">
        <f>IF('Plot By Plot SoA'!K218=0,"-",'Plot By Plot SoA'!K218)</f>
        <v>Community Amenity</v>
      </c>
      <c r="L193" s="693" t="s">
        <v>79</v>
      </c>
    </row>
    <row r="194" spans="1:12" x14ac:dyDescent="0.35">
      <c r="A194" s="896"/>
      <c r="B194" s="688">
        <v>189</v>
      </c>
      <c r="C194" s="688" t="s">
        <v>17</v>
      </c>
      <c r="D194" s="689" t="s">
        <v>375</v>
      </c>
      <c r="E194" s="690">
        <v>40.5</v>
      </c>
      <c r="F194" s="691">
        <f t="shared" si="8"/>
        <v>435.93795</v>
      </c>
      <c r="G194" s="688" t="s">
        <v>351</v>
      </c>
      <c r="H194" s="692">
        <v>1</v>
      </c>
      <c r="I194" s="689" t="str">
        <f>IF('Plot By Plot SoA'!Q219=0,"-",'Plot By Plot SoA'!Q219)</f>
        <v>-</v>
      </c>
      <c r="J194" s="688" t="s">
        <v>362</v>
      </c>
      <c r="K194" s="689" t="str">
        <f>IF('Plot By Plot SoA'!K219=0,"-",'Plot By Plot SoA'!K219)</f>
        <v>Community Amenity</v>
      </c>
      <c r="L194" s="693" t="s">
        <v>79</v>
      </c>
    </row>
    <row r="195" spans="1:12" x14ac:dyDescent="0.35">
      <c r="A195" s="896"/>
      <c r="B195" s="688">
        <v>190</v>
      </c>
      <c r="C195" s="688" t="s">
        <v>17</v>
      </c>
      <c r="D195" s="689" t="s">
        <v>375</v>
      </c>
      <c r="E195" s="690">
        <v>40.5</v>
      </c>
      <c r="F195" s="691">
        <f t="shared" si="8"/>
        <v>435.93795</v>
      </c>
      <c r="G195" s="688" t="s">
        <v>351</v>
      </c>
      <c r="H195" s="692">
        <v>1</v>
      </c>
      <c r="I195" s="689" t="str">
        <f>IF('Plot By Plot SoA'!Q220=0,"-",'Plot By Plot SoA'!Q220)</f>
        <v>-</v>
      </c>
      <c r="J195" s="688" t="s">
        <v>362</v>
      </c>
      <c r="K195" s="689" t="str">
        <f>IF('Plot By Plot SoA'!K220=0,"-",'Plot By Plot SoA'!K220)</f>
        <v>Community Amenity</v>
      </c>
      <c r="L195" s="693" t="s">
        <v>79</v>
      </c>
    </row>
    <row r="196" spans="1:12" x14ac:dyDescent="0.35">
      <c r="A196" s="896"/>
      <c r="B196" s="688">
        <v>191</v>
      </c>
      <c r="C196" s="688" t="s">
        <v>17</v>
      </c>
      <c r="D196" s="689" t="s">
        <v>375</v>
      </c>
      <c r="E196" s="690">
        <v>40.5</v>
      </c>
      <c r="F196" s="691">
        <f t="shared" si="8"/>
        <v>435.93795</v>
      </c>
      <c r="G196" s="688" t="s">
        <v>351</v>
      </c>
      <c r="H196" s="692">
        <v>1</v>
      </c>
      <c r="I196" s="689" t="str">
        <f>IF('Plot By Plot SoA'!Q221=0,"-",'Plot By Plot SoA'!Q221)</f>
        <v>-</v>
      </c>
      <c r="J196" s="688" t="s">
        <v>362</v>
      </c>
      <c r="K196" s="689" t="str">
        <f>IF('Plot By Plot SoA'!K221=0,"-",'Plot By Plot SoA'!K221)</f>
        <v>Community Amenity</v>
      </c>
      <c r="L196" s="693" t="s">
        <v>79</v>
      </c>
    </row>
    <row r="197" spans="1:12" x14ac:dyDescent="0.35">
      <c r="A197" s="896"/>
      <c r="B197" s="688">
        <v>192</v>
      </c>
      <c r="C197" s="688" t="s">
        <v>17</v>
      </c>
      <c r="D197" s="689" t="s">
        <v>375</v>
      </c>
      <c r="E197" s="690">
        <v>40.5</v>
      </c>
      <c r="F197" s="691">
        <f t="shared" si="8"/>
        <v>435.93795</v>
      </c>
      <c r="G197" s="688" t="s">
        <v>351</v>
      </c>
      <c r="H197" s="692">
        <v>1</v>
      </c>
      <c r="I197" s="689" t="str">
        <f>IF('Plot By Plot SoA'!Q222=0,"-",'Plot By Plot SoA'!Q222)</f>
        <v>-</v>
      </c>
      <c r="J197" s="688" t="s">
        <v>362</v>
      </c>
      <c r="K197" s="689" t="str">
        <f>IF('Plot By Plot SoA'!K222=0,"-",'Plot By Plot SoA'!K222)</f>
        <v>Community Amenity</v>
      </c>
      <c r="L197" s="693" t="s">
        <v>79</v>
      </c>
    </row>
    <row r="198" spans="1:12" x14ac:dyDescent="0.35">
      <c r="A198" s="896"/>
      <c r="B198" s="688">
        <v>193</v>
      </c>
      <c r="C198" s="688" t="s">
        <v>17</v>
      </c>
      <c r="D198" s="689" t="s">
        <v>375</v>
      </c>
      <c r="E198" s="690">
        <v>40.5</v>
      </c>
      <c r="F198" s="691">
        <f t="shared" si="8"/>
        <v>435.93795</v>
      </c>
      <c r="G198" s="688" t="s">
        <v>351</v>
      </c>
      <c r="H198" s="692">
        <v>1</v>
      </c>
      <c r="I198" s="689" t="str">
        <f>IF('Plot By Plot SoA'!Q223=0,"-",'Plot By Plot SoA'!Q223)</f>
        <v>-</v>
      </c>
      <c r="J198" s="688" t="s">
        <v>362</v>
      </c>
      <c r="K198" s="689" t="str">
        <f>IF('Plot By Plot SoA'!K223=0,"-",'Plot By Plot SoA'!K223)</f>
        <v>Community Amenity</v>
      </c>
      <c r="L198" s="693" t="s">
        <v>79</v>
      </c>
    </row>
    <row r="199" spans="1:12" x14ac:dyDescent="0.35">
      <c r="A199" s="896"/>
      <c r="B199" s="688">
        <v>194</v>
      </c>
      <c r="C199" s="688" t="s">
        <v>17</v>
      </c>
      <c r="D199" s="689" t="s">
        <v>376</v>
      </c>
      <c r="E199" s="690">
        <v>73.5</v>
      </c>
      <c r="F199" s="691">
        <f>SUM(E199*10.7639)</f>
        <v>791.14665000000002</v>
      </c>
      <c r="G199" s="688" t="s">
        <v>351</v>
      </c>
      <c r="H199" s="692">
        <v>1</v>
      </c>
      <c r="I199" s="689" t="str">
        <f>IF('Plot By Plot SoA'!Q224=0,"-",'Plot By Plot SoA'!Q224)</f>
        <v>-</v>
      </c>
      <c r="J199" s="688" t="s">
        <v>362</v>
      </c>
      <c r="K199" s="689" t="str">
        <f>IF('Plot By Plot SoA'!K224=0,"-",'Plot By Plot SoA'!K224)</f>
        <v>Community Amenity</v>
      </c>
      <c r="L199" s="693" t="s">
        <v>79</v>
      </c>
    </row>
    <row r="200" spans="1:12" x14ac:dyDescent="0.35">
      <c r="A200" s="896"/>
      <c r="B200" s="688">
        <v>195</v>
      </c>
      <c r="C200" s="688" t="s">
        <v>17</v>
      </c>
      <c r="D200" s="689" t="s">
        <v>376</v>
      </c>
      <c r="E200" s="690">
        <v>49.9</v>
      </c>
      <c r="F200" s="691">
        <f t="shared" ref="F200:F263" si="9">SUM(E200*10.7639)</f>
        <v>537.11860999999999</v>
      </c>
      <c r="G200" s="688" t="s">
        <v>351</v>
      </c>
      <c r="H200" s="692">
        <v>1</v>
      </c>
      <c r="I200" s="689" t="str">
        <f>IF('Plot By Plot SoA'!Q225=0,"-",'Plot By Plot SoA'!Q225)</f>
        <v>-</v>
      </c>
      <c r="J200" s="688" t="s">
        <v>362</v>
      </c>
      <c r="K200" s="689" t="str">
        <f>IF('Plot By Plot SoA'!K225=0,"-",'Plot By Plot SoA'!K225)</f>
        <v>Community Amenity</v>
      </c>
      <c r="L200" s="693" t="s">
        <v>79</v>
      </c>
    </row>
    <row r="201" spans="1:12" x14ac:dyDescent="0.35">
      <c r="A201" s="896"/>
      <c r="B201" s="688">
        <v>196</v>
      </c>
      <c r="C201" s="688" t="s">
        <v>17</v>
      </c>
      <c r="D201" s="689" t="s">
        <v>376</v>
      </c>
      <c r="E201" s="690">
        <v>51.7</v>
      </c>
      <c r="F201" s="691">
        <f t="shared" si="9"/>
        <v>556.49363000000005</v>
      </c>
      <c r="G201" s="688" t="s">
        <v>351</v>
      </c>
      <c r="H201" s="692">
        <v>1</v>
      </c>
      <c r="I201" s="689" t="str">
        <f>IF('Plot By Plot SoA'!Q226=0,"-",'Plot By Plot SoA'!Q226)</f>
        <v>-</v>
      </c>
      <c r="J201" s="688" t="s">
        <v>362</v>
      </c>
      <c r="K201" s="689" t="str">
        <f>IF('Plot By Plot SoA'!K226=0,"-",'Plot By Plot SoA'!K226)</f>
        <v>Community Amenity</v>
      </c>
      <c r="L201" s="693" t="s">
        <v>79</v>
      </c>
    </row>
    <row r="202" spans="1:12" x14ac:dyDescent="0.35">
      <c r="A202" s="896"/>
      <c r="B202" s="688">
        <v>197</v>
      </c>
      <c r="C202" s="688" t="s">
        <v>17</v>
      </c>
      <c r="D202" s="689" t="s">
        <v>376</v>
      </c>
      <c r="E202" s="690">
        <v>50.2</v>
      </c>
      <c r="F202" s="691">
        <f t="shared" si="9"/>
        <v>540.34778000000006</v>
      </c>
      <c r="G202" s="688" t="s">
        <v>351</v>
      </c>
      <c r="H202" s="692">
        <v>1</v>
      </c>
      <c r="I202" s="689" t="str">
        <f>IF('Plot By Plot SoA'!Q227=0,"-",'Plot By Plot SoA'!Q227)</f>
        <v>-</v>
      </c>
      <c r="J202" s="688" t="s">
        <v>362</v>
      </c>
      <c r="K202" s="689" t="str">
        <f>IF('Plot By Plot SoA'!K227=0,"-",'Plot By Plot SoA'!K227)</f>
        <v>Community Amenity</v>
      </c>
      <c r="L202" s="693" t="s">
        <v>79</v>
      </c>
    </row>
    <row r="203" spans="1:12" x14ac:dyDescent="0.35">
      <c r="A203" s="896"/>
      <c r="B203" s="688">
        <v>198</v>
      </c>
      <c r="C203" s="688" t="s">
        <v>17</v>
      </c>
      <c r="D203" s="689" t="s">
        <v>376</v>
      </c>
      <c r="E203" s="690">
        <v>53.6</v>
      </c>
      <c r="F203" s="691">
        <f t="shared" si="9"/>
        <v>576.94503999999995</v>
      </c>
      <c r="G203" s="688" t="s">
        <v>351</v>
      </c>
      <c r="H203" s="692">
        <v>1</v>
      </c>
      <c r="I203" s="689" t="str">
        <f>IF('Plot By Plot SoA'!Q228=0,"-",'Plot By Plot SoA'!Q228)</f>
        <v>-</v>
      </c>
      <c r="J203" s="688" t="s">
        <v>362</v>
      </c>
      <c r="K203" s="689" t="str">
        <f>IF('Plot By Plot SoA'!K228=0,"-",'Plot By Plot SoA'!K228)</f>
        <v>Balcony</v>
      </c>
      <c r="L203" s="693">
        <v>84</v>
      </c>
    </row>
    <row r="204" spans="1:12" x14ac:dyDescent="0.35">
      <c r="A204" s="896"/>
      <c r="B204" s="688">
        <v>199</v>
      </c>
      <c r="C204" s="688" t="s">
        <v>17</v>
      </c>
      <c r="D204" s="689" t="s">
        <v>376</v>
      </c>
      <c r="E204" s="690">
        <v>50.1</v>
      </c>
      <c r="F204" s="691">
        <f t="shared" si="9"/>
        <v>539.27139</v>
      </c>
      <c r="G204" s="688" t="s">
        <v>351</v>
      </c>
      <c r="H204" s="692">
        <v>1</v>
      </c>
      <c r="I204" s="689" t="str">
        <f>IF('Plot By Plot SoA'!Q229=0,"-",'Plot By Plot SoA'!Q229)</f>
        <v>-</v>
      </c>
      <c r="J204" s="688" t="s">
        <v>362</v>
      </c>
      <c r="K204" s="689" t="str">
        <f>IF('Plot By Plot SoA'!K229=0,"-",'Plot By Plot SoA'!K229)</f>
        <v>Community Amenity</v>
      </c>
      <c r="L204" s="693" t="s">
        <v>79</v>
      </c>
    </row>
    <row r="205" spans="1:12" x14ac:dyDescent="0.35">
      <c r="A205" s="896"/>
      <c r="B205" s="688">
        <v>200</v>
      </c>
      <c r="C205" s="688" t="s">
        <v>16</v>
      </c>
      <c r="D205" s="689" t="s">
        <v>377</v>
      </c>
      <c r="E205" s="690">
        <v>81</v>
      </c>
      <c r="F205" s="691">
        <f t="shared" si="9"/>
        <v>871.8759</v>
      </c>
      <c r="G205" s="688" t="s">
        <v>347</v>
      </c>
      <c r="H205" s="696">
        <v>2</v>
      </c>
      <c r="I205" s="689" t="str">
        <f>IF('Plot By Plot SoA'!Q230=0,"-",'Plot By Plot SoA'!Q230)</f>
        <v>-</v>
      </c>
      <c r="J205" s="688" t="s">
        <v>362</v>
      </c>
      <c r="K205" s="689" t="str">
        <f>IF('Plot By Plot SoA'!K230=0,"-",'Plot By Plot SoA'!K230)</f>
        <v>Community Amenity</v>
      </c>
      <c r="L205" s="693" t="s">
        <v>79</v>
      </c>
    </row>
    <row r="206" spans="1:12" x14ac:dyDescent="0.35">
      <c r="A206" s="896"/>
      <c r="B206" s="688">
        <v>201</v>
      </c>
      <c r="C206" s="688" t="s">
        <v>16</v>
      </c>
      <c r="D206" s="689" t="s">
        <v>377</v>
      </c>
      <c r="E206" s="690">
        <v>87.2</v>
      </c>
      <c r="F206" s="691">
        <f t="shared" si="9"/>
        <v>938.61207999999999</v>
      </c>
      <c r="G206" s="688" t="s">
        <v>349</v>
      </c>
      <c r="H206" s="692">
        <v>2</v>
      </c>
      <c r="I206" s="689" t="str">
        <f>IF('Plot By Plot SoA'!Q231=0,"-",'Plot By Plot SoA'!Q231)</f>
        <v>-</v>
      </c>
      <c r="J206" s="688" t="s">
        <v>362</v>
      </c>
      <c r="K206" s="689" t="str">
        <f>IF('Plot By Plot SoA'!K231=0,"-",'Plot By Plot SoA'!K231)</f>
        <v>Community Amenity</v>
      </c>
      <c r="L206" s="693" t="s">
        <v>79</v>
      </c>
    </row>
    <row r="207" spans="1:12" x14ac:dyDescent="0.35">
      <c r="A207" s="896"/>
      <c r="B207" s="688">
        <v>202</v>
      </c>
      <c r="C207" s="688" t="s">
        <v>16</v>
      </c>
      <c r="D207" s="689" t="s">
        <v>377</v>
      </c>
      <c r="E207" s="690">
        <v>81</v>
      </c>
      <c r="F207" s="691">
        <f t="shared" si="9"/>
        <v>871.8759</v>
      </c>
      <c r="G207" s="688" t="s">
        <v>347</v>
      </c>
      <c r="H207" s="697">
        <v>2</v>
      </c>
      <c r="I207" s="689" t="str">
        <f>IF('Plot By Plot SoA'!Q232=0,"-",'Plot By Plot SoA'!Q232)</f>
        <v>-</v>
      </c>
      <c r="J207" s="688" t="s">
        <v>362</v>
      </c>
      <c r="K207" s="689" t="str">
        <f>IF('Plot By Plot SoA'!K232=0,"-",'Plot By Plot SoA'!K232)</f>
        <v>Community Amenity</v>
      </c>
      <c r="L207" s="693" t="s">
        <v>79</v>
      </c>
    </row>
    <row r="208" spans="1:12" x14ac:dyDescent="0.35">
      <c r="A208" s="896"/>
      <c r="B208" s="688">
        <v>203</v>
      </c>
      <c r="C208" s="688" t="s">
        <v>16</v>
      </c>
      <c r="D208" s="689" t="s">
        <v>377</v>
      </c>
      <c r="E208" s="690">
        <v>81</v>
      </c>
      <c r="F208" s="691">
        <f t="shared" si="9"/>
        <v>871.8759</v>
      </c>
      <c r="G208" s="688" t="s">
        <v>347</v>
      </c>
      <c r="H208" s="697">
        <v>2</v>
      </c>
      <c r="I208" s="689" t="str">
        <f>IF('Plot By Plot SoA'!Q233=0,"-",'Plot By Plot SoA'!Q233)</f>
        <v>-</v>
      </c>
      <c r="J208" s="688" t="s">
        <v>362</v>
      </c>
      <c r="K208" s="689" t="str">
        <f>IF('Plot By Plot SoA'!K233=0,"-",'Plot By Plot SoA'!K233)</f>
        <v>Community Amenity</v>
      </c>
      <c r="L208" s="693" t="s">
        <v>79</v>
      </c>
    </row>
    <row r="209" spans="1:12" x14ac:dyDescent="0.35">
      <c r="A209" s="896"/>
      <c r="B209" s="688">
        <v>204</v>
      </c>
      <c r="C209" s="688" t="s">
        <v>16</v>
      </c>
      <c r="D209" s="689" t="s">
        <v>377</v>
      </c>
      <c r="E209" s="690">
        <v>81</v>
      </c>
      <c r="F209" s="691">
        <f t="shared" si="9"/>
        <v>871.8759</v>
      </c>
      <c r="G209" s="688" t="s">
        <v>347</v>
      </c>
      <c r="H209" s="692">
        <v>2</v>
      </c>
      <c r="I209" s="689" t="str">
        <f>IF('Plot By Plot SoA'!Q234=0,"-",'Plot By Plot SoA'!Q234)</f>
        <v>-</v>
      </c>
      <c r="J209" s="688" t="s">
        <v>362</v>
      </c>
      <c r="K209" s="689" t="str">
        <f>IF('Plot By Plot SoA'!K234=0,"-",'Plot By Plot SoA'!K234)</f>
        <v>Community Amenity</v>
      </c>
      <c r="L209" s="693" t="s">
        <v>79</v>
      </c>
    </row>
    <row r="210" spans="1:12" x14ac:dyDescent="0.35">
      <c r="A210" s="896"/>
      <c r="B210" s="688">
        <v>205</v>
      </c>
      <c r="C210" s="688" t="s">
        <v>17</v>
      </c>
      <c r="D210" s="689" t="s">
        <v>378</v>
      </c>
      <c r="E210" s="690">
        <v>49.9</v>
      </c>
      <c r="F210" s="691">
        <f t="shared" si="9"/>
        <v>537.11860999999999</v>
      </c>
      <c r="G210" s="688" t="s">
        <v>351</v>
      </c>
      <c r="H210" s="692">
        <v>1</v>
      </c>
      <c r="I210" s="689" t="str">
        <f>IF('Plot By Plot SoA'!Q235=0,"-",'Plot By Plot SoA'!Q235)</f>
        <v>-</v>
      </c>
      <c r="J210" s="688" t="s">
        <v>362</v>
      </c>
      <c r="K210" s="689" t="str">
        <f>IF('Plot By Plot SoA'!K235=0,"-",'Plot By Plot SoA'!K235)</f>
        <v>Community Amenity</v>
      </c>
      <c r="L210" s="693" t="s">
        <v>79</v>
      </c>
    </row>
    <row r="211" spans="1:12" x14ac:dyDescent="0.35">
      <c r="A211" s="896"/>
      <c r="B211" s="688">
        <v>206</v>
      </c>
      <c r="C211" s="688" t="s">
        <v>17</v>
      </c>
      <c r="D211" s="689" t="s">
        <v>378</v>
      </c>
      <c r="E211" s="690">
        <v>51.7</v>
      </c>
      <c r="F211" s="691">
        <f t="shared" si="9"/>
        <v>556.49363000000005</v>
      </c>
      <c r="G211" s="688" t="s">
        <v>351</v>
      </c>
      <c r="H211" s="692">
        <v>1</v>
      </c>
      <c r="I211" s="689" t="str">
        <f>IF('Plot By Plot SoA'!Q236=0,"-",'Plot By Plot SoA'!Q236)</f>
        <v>-</v>
      </c>
      <c r="J211" s="688" t="s">
        <v>362</v>
      </c>
      <c r="K211" s="689" t="str">
        <f>IF('Plot By Plot SoA'!K236=0,"-",'Plot By Plot SoA'!K236)</f>
        <v>Community Amenity</v>
      </c>
      <c r="L211" s="693" t="s">
        <v>79</v>
      </c>
    </row>
    <row r="212" spans="1:12" x14ac:dyDescent="0.35">
      <c r="A212" s="896"/>
      <c r="B212" s="688">
        <v>207</v>
      </c>
      <c r="C212" s="688" t="s">
        <v>17</v>
      </c>
      <c r="D212" s="689" t="s">
        <v>378</v>
      </c>
      <c r="E212" s="690">
        <v>50.2</v>
      </c>
      <c r="F212" s="691">
        <f t="shared" si="9"/>
        <v>540.34778000000006</v>
      </c>
      <c r="G212" s="688" t="s">
        <v>351</v>
      </c>
      <c r="H212" s="692">
        <v>1</v>
      </c>
      <c r="I212" s="689" t="str">
        <f>IF('Plot By Plot SoA'!Q237=0,"-",'Plot By Plot SoA'!Q237)</f>
        <v>-</v>
      </c>
      <c r="J212" s="688" t="s">
        <v>362</v>
      </c>
      <c r="K212" s="689" t="str">
        <f>IF('Plot By Plot SoA'!K237=0,"-",'Plot By Plot SoA'!K237)</f>
        <v>Community Amenity</v>
      </c>
      <c r="L212" s="693" t="s">
        <v>79</v>
      </c>
    </row>
    <row r="213" spans="1:12" x14ac:dyDescent="0.35">
      <c r="A213" s="896"/>
      <c r="B213" s="688">
        <v>208</v>
      </c>
      <c r="C213" s="688" t="s">
        <v>17</v>
      </c>
      <c r="D213" s="689" t="s">
        <v>378</v>
      </c>
      <c r="E213" s="690">
        <v>53.6</v>
      </c>
      <c r="F213" s="691">
        <f t="shared" si="9"/>
        <v>576.94503999999995</v>
      </c>
      <c r="G213" s="688" t="s">
        <v>351</v>
      </c>
      <c r="H213" s="692">
        <v>1</v>
      </c>
      <c r="I213" s="689" t="str">
        <f>IF('Plot By Plot SoA'!Q238=0,"-",'Plot By Plot SoA'!Q238)</f>
        <v>-</v>
      </c>
      <c r="J213" s="688" t="s">
        <v>362</v>
      </c>
      <c r="K213" s="689" t="str">
        <f>IF('Plot By Plot SoA'!K238=0,"-",'Plot By Plot SoA'!K238)</f>
        <v>Community Amenity</v>
      </c>
      <c r="L213" s="693" t="s">
        <v>79</v>
      </c>
    </row>
    <row r="214" spans="1:12" x14ac:dyDescent="0.35">
      <c r="A214" s="896"/>
      <c r="B214" s="688">
        <v>209</v>
      </c>
      <c r="C214" s="688" t="s">
        <v>17</v>
      </c>
      <c r="D214" s="689" t="s">
        <v>378</v>
      </c>
      <c r="E214" s="690">
        <v>50.1</v>
      </c>
      <c r="F214" s="691">
        <f t="shared" si="9"/>
        <v>539.27139</v>
      </c>
      <c r="G214" s="688" t="s">
        <v>351</v>
      </c>
      <c r="H214" s="692">
        <v>1</v>
      </c>
      <c r="I214" s="689" t="str">
        <f>IF('Plot By Plot SoA'!Q239=0,"-",'Plot By Plot SoA'!Q239)</f>
        <v>-</v>
      </c>
      <c r="J214" s="688" t="s">
        <v>362</v>
      </c>
      <c r="K214" s="689" t="str">
        <f>IF('Plot By Plot SoA'!K239=0,"-",'Plot By Plot SoA'!K239)</f>
        <v>Community Amenity</v>
      </c>
      <c r="L214" s="698" t="s">
        <v>79</v>
      </c>
    </row>
    <row r="215" spans="1:12" x14ac:dyDescent="0.35">
      <c r="A215" s="896"/>
      <c r="B215" s="688">
        <v>210</v>
      </c>
      <c r="C215" s="688" t="s">
        <v>17</v>
      </c>
      <c r="D215" s="689" t="s">
        <v>379</v>
      </c>
      <c r="E215" s="690">
        <v>49.9</v>
      </c>
      <c r="F215" s="691">
        <f t="shared" si="9"/>
        <v>537.11860999999999</v>
      </c>
      <c r="G215" s="688" t="s">
        <v>351</v>
      </c>
      <c r="H215" s="692">
        <v>1</v>
      </c>
      <c r="I215" s="689" t="str">
        <f>IF('Plot By Plot SoA'!Q240=0,"-",'Plot By Plot SoA'!Q240)</f>
        <v>-</v>
      </c>
      <c r="J215" s="688" t="s">
        <v>362</v>
      </c>
      <c r="K215" s="689" t="str">
        <f>IF('Plot By Plot SoA'!K240=0,"-",'Plot By Plot SoA'!K240)</f>
        <v>Community Amenity</v>
      </c>
      <c r="L215" s="693" t="s">
        <v>79</v>
      </c>
    </row>
    <row r="216" spans="1:12" x14ac:dyDescent="0.35">
      <c r="A216" s="896"/>
      <c r="B216" s="688">
        <v>211</v>
      </c>
      <c r="C216" s="688" t="s">
        <v>17</v>
      </c>
      <c r="D216" s="689" t="s">
        <v>379</v>
      </c>
      <c r="E216" s="690">
        <v>51.7</v>
      </c>
      <c r="F216" s="691">
        <f t="shared" si="9"/>
        <v>556.49363000000005</v>
      </c>
      <c r="G216" s="688" t="s">
        <v>351</v>
      </c>
      <c r="H216" s="692">
        <v>1</v>
      </c>
      <c r="I216" s="689" t="str">
        <f>IF('Plot By Plot SoA'!Q241=0,"-",'Plot By Plot SoA'!Q241)</f>
        <v>-</v>
      </c>
      <c r="J216" s="688" t="s">
        <v>362</v>
      </c>
      <c r="K216" s="689" t="str">
        <f>IF('Plot By Plot SoA'!K241=0,"-",'Plot By Plot SoA'!K241)</f>
        <v>Community Amenity</v>
      </c>
      <c r="L216" s="693" t="s">
        <v>79</v>
      </c>
    </row>
    <row r="217" spans="1:12" x14ac:dyDescent="0.35">
      <c r="A217" s="896"/>
      <c r="B217" s="688">
        <v>212</v>
      </c>
      <c r="C217" s="688" t="s">
        <v>17</v>
      </c>
      <c r="D217" s="689" t="s">
        <v>379</v>
      </c>
      <c r="E217" s="690">
        <v>50.2</v>
      </c>
      <c r="F217" s="691">
        <f t="shared" si="9"/>
        <v>540.34778000000006</v>
      </c>
      <c r="G217" s="688" t="s">
        <v>351</v>
      </c>
      <c r="H217" s="692">
        <v>1</v>
      </c>
      <c r="I217" s="689" t="str">
        <f>IF('Plot By Plot SoA'!Q242=0,"-",'Plot By Plot SoA'!Q242)</f>
        <v>-</v>
      </c>
      <c r="J217" s="688" t="s">
        <v>362</v>
      </c>
      <c r="K217" s="689" t="str">
        <f>IF('Plot By Plot SoA'!K242=0,"-",'Plot By Plot SoA'!K242)</f>
        <v>Community Amenity</v>
      </c>
      <c r="L217" s="693" t="s">
        <v>79</v>
      </c>
    </row>
    <row r="218" spans="1:12" x14ac:dyDescent="0.35">
      <c r="A218" s="896"/>
      <c r="B218" s="688" t="s">
        <v>117</v>
      </c>
      <c r="C218" s="688" t="s">
        <v>17</v>
      </c>
      <c r="D218" s="689" t="s">
        <v>379</v>
      </c>
      <c r="E218" s="690">
        <v>53.6</v>
      </c>
      <c r="F218" s="691">
        <f t="shared" si="9"/>
        <v>576.94503999999995</v>
      </c>
      <c r="G218" s="688" t="s">
        <v>351</v>
      </c>
      <c r="H218" s="692">
        <v>1</v>
      </c>
      <c r="I218" s="689" t="str">
        <f>IF('Plot By Plot SoA'!Q243=0,"-",'Plot By Plot SoA'!Q243)</f>
        <v>-</v>
      </c>
      <c r="J218" s="688" t="s">
        <v>362</v>
      </c>
      <c r="K218" s="689" t="str">
        <f>IF('Plot By Plot SoA'!K243=0,"-",'Plot By Plot SoA'!K243)</f>
        <v>Community Amenity</v>
      </c>
      <c r="L218" s="693" t="s">
        <v>79</v>
      </c>
    </row>
    <row r="219" spans="1:12" x14ac:dyDescent="0.35">
      <c r="A219" s="896"/>
      <c r="B219" s="688">
        <v>213</v>
      </c>
      <c r="C219" s="688" t="s">
        <v>17</v>
      </c>
      <c r="D219" s="689" t="s">
        <v>380</v>
      </c>
      <c r="E219" s="690">
        <v>49.9</v>
      </c>
      <c r="F219" s="691">
        <f t="shared" si="9"/>
        <v>537.11860999999999</v>
      </c>
      <c r="G219" s="688" t="s">
        <v>351</v>
      </c>
      <c r="H219" s="692">
        <v>1</v>
      </c>
      <c r="I219" s="689" t="str">
        <f>IF('Plot By Plot SoA'!Q244=0,"-",'Plot By Plot SoA'!Q244)</f>
        <v>-</v>
      </c>
      <c r="J219" s="688" t="s">
        <v>362</v>
      </c>
      <c r="K219" s="689" t="str">
        <f>IF('Plot By Plot SoA'!K244=0,"-",'Plot By Plot SoA'!K244)</f>
        <v>Community Amenity</v>
      </c>
      <c r="L219" s="693" t="s">
        <v>79</v>
      </c>
    </row>
    <row r="220" spans="1:12" x14ac:dyDescent="0.35">
      <c r="A220" s="896"/>
      <c r="B220" s="688">
        <v>214</v>
      </c>
      <c r="C220" s="688" t="s">
        <v>17</v>
      </c>
      <c r="D220" s="689" t="s">
        <v>380</v>
      </c>
      <c r="E220" s="690">
        <v>51.7</v>
      </c>
      <c r="F220" s="691">
        <f t="shared" si="9"/>
        <v>556.49363000000005</v>
      </c>
      <c r="G220" s="688" t="s">
        <v>351</v>
      </c>
      <c r="H220" s="692">
        <v>1</v>
      </c>
      <c r="I220" s="689" t="str">
        <f>IF('Plot By Plot SoA'!Q245=0,"-",'Plot By Plot SoA'!Q245)</f>
        <v>-</v>
      </c>
      <c r="J220" s="688" t="s">
        <v>362</v>
      </c>
      <c r="K220" s="689" t="str">
        <f>IF('Plot By Plot SoA'!K245=0,"-",'Plot By Plot SoA'!K245)</f>
        <v>Community Amenity</v>
      </c>
      <c r="L220" s="693" t="s">
        <v>79</v>
      </c>
    </row>
    <row r="221" spans="1:12" x14ac:dyDescent="0.35">
      <c r="A221" s="897"/>
      <c r="B221" s="688">
        <v>215</v>
      </c>
      <c r="C221" s="688" t="s">
        <v>17</v>
      </c>
      <c r="D221" s="689" t="s">
        <v>380</v>
      </c>
      <c r="E221" s="690">
        <v>50.2</v>
      </c>
      <c r="F221" s="691">
        <f t="shared" si="9"/>
        <v>540.34778000000006</v>
      </c>
      <c r="G221" s="688" t="s">
        <v>351</v>
      </c>
      <c r="H221" s="692">
        <v>1</v>
      </c>
      <c r="I221" s="689" t="str">
        <f>IF('Plot By Plot SoA'!Q246=0,"-",'Plot By Plot SoA'!Q246)</f>
        <v>-</v>
      </c>
      <c r="J221" s="688" t="s">
        <v>362</v>
      </c>
      <c r="K221" s="689" t="str">
        <f>IF('Plot By Plot SoA'!K246=0,"-",'Plot By Plot SoA'!K246)</f>
        <v>Community Amenity</v>
      </c>
      <c r="L221" s="693" t="s">
        <v>79</v>
      </c>
    </row>
    <row r="222" spans="1:12" x14ac:dyDescent="0.35">
      <c r="A222" s="898" t="s">
        <v>126</v>
      </c>
      <c r="B222" s="699">
        <v>216</v>
      </c>
      <c r="C222" s="699" t="s">
        <v>17</v>
      </c>
      <c r="D222" s="700" t="s">
        <v>391</v>
      </c>
      <c r="E222" s="699">
        <v>48.3</v>
      </c>
      <c r="F222" s="701">
        <f t="shared" si="9"/>
        <v>519.89636999999993</v>
      </c>
      <c r="G222" s="699" t="s">
        <v>351</v>
      </c>
      <c r="H222" s="702">
        <v>1</v>
      </c>
      <c r="I222" s="700" t="str">
        <f>IF('Plot By Plot SoA'!Q247=0,"-",'Plot By Plot SoA'!Q247)</f>
        <v>-</v>
      </c>
      <c r="J222" s="699" t="s">
        <v>362</v>
      </c>
      <c r="K222" s="700" t="str">
        <f>IF('Plot By Plot SoA'!K247=0,"-",'Plot By Plot SoA'!K247)</f>
        <v>Community Amenity</v>
      </c>
      <c r="L222" s="703" t="s">
        <v>79</v>
      </c>
    </row>
    <row r="223" spans="1:12" x14ac:dyDescent="0.35">
      <c r="A223" s="899"/>
      <c r="B223" s="699">
        <v>217</v>
      </c>
      <c r="C223" s="699" t="s">
        <v>17</v>
      </c>
      <c r="D223" s="700" t="s">
        <v>375</v>
      </c>
      <c r="E223" s="699">
        <v>56.2</v>
      </c>
      <c r="F223" s="701">
        <f t="shared" si="9"/>
        <v>604.93118000000004</v>
      </c>
      <c r="G223" s="699" t="s">
        <v>351</v>
      </c>
      <c r="H223" s="704">
        <v>1</v>
      </c>
      <c r="I223" s="700" t="str">
        <f>IF('Plot By Plot SoA'!Q248=0,"-",'Plot By Plot SoA'!Q248)</f>
        <v>-</v>
      </c>
      <c r="J223" s="699" t="s">
        <v>362</v>
      </c>
      <c r="K223" s="700" t="str">
        <f>IF('Plot By Plot SoA'!K248=0,"-",'Plot By Plot SoA'!K248)</f>
        <v>Balcony</v>
      </c>
      <c r="L223" s="703">
        <v>86</v>
      </c>
    </row>
    <row r="224" spans="1:12" x14ac:dyDescent="0.35">
      <c r="A224" s="899"/>
      <c r="B224" s="699">
        <v>218</v>
      </c>
      <c r="C224" s="699" t="s">
        <v>17</v>
      </c>
      <c r="D224" s="700" t="s">
        <v>375</v>
      </c>
      <c r="E224" s="699">
        <v>43.4</v>
      </c>
      <c r="F224" s="701">
        <f t="shared" si="9"/>
        <v>467.15325999999999</v>
      </c>
      <c r="G224" s="699" t="s">
        <v>351</v>
      </c>
      <c r="H224" s="704">
        <v>1</v>
      </c>
      <c r="I224" s="700" t="str">
        <f>IF('Plot By Plot SoA'!Q249=0,"-",'Plot By Plot SoA'!Q249)</f>
        <v>-</v>
      </c>
      <c r="J224" s="699" t="s">
        <v>362</v>
      </c>
      <c r="K224" s="700" t="str">
        <f>IF('Plot By Plot SoA'!K249=0,"-",'Plot By Plot SoA'!K249)</f>
        <v>Community Amenity</v>
      </c>
      <c r="L224" s="703" t="s">
        <v>79</v>
      </c>
    </row>
    <row r="225" spans="1:12" x14ac:dyDescent="0.35">
      <c r="A225" s="899"/>
      <c r="B225" s="699">
        <v>219</v>
      </c>
      <c r="C225" s="699" t="s">
        <v>17</v>
      </c>
      <c r="D225" s="700" t="s">
        <v>375</v>
      </c>
      <c r="E225" s="699">
        <v>43.4</v>
      </c>
      <c r="F225" s="701">
        <f t="shared" si="9"/>
        <v>467.15325999999999</v>
      </c>
      <c r="G225" s="699" t="s">
        <v>351</v>
      </c>
      <c r="H225" s="705">
        <v>1</v>
      </c>
      <c r="I225" s="700" t="str">
        <f>IF('Plot By Plot SoA'!Q250=0,"-",'Plot By Plot SoA'!Q250)</f>
        <v>-</v>
      </c>
      <c r="J225" s="699" t="s">
        <v>362</v>
      </c>
      <c r="K225" s="700" t="str">
        <f>IF('Plot By Plot SoA'!K250=0,"-",'Plot By Plot SoA'!K250)</f>
        <v>Balcony</v>
      </c>
      <c r="L225" s="703">
        <v>89</v>
      </c>
    </row>
    <row r="226" spans="1:12" x14ac:dyDescent="0.35">
      <c r="A226" s="899"/>
      <c r="B226" s="699">
        <v>220</v>
      </c>
      <c r="C226" s="699" t="s">
        <v>17</v>
      </c>
      <c r="D226" s="700" t="s">
        <v>375</v>
      </c>
      <c r="E226" s="699">
        <v>43.4</v>
      </c>
      <c r="F226" s="701">
        <f t="shared" si="9"/>
        <v>467.15325999999999</v>
      </c>
      <c r="G226" s="699" t="s">
        <v>351</v>
      </c>
      <c r="H226" s="702">
        <v>1</v>
      </c>
      <c r="I226" s="700" t="str">
        <f>IF('Plot By Plot SoA'!Q251=0,"-",'Plot By Plot SoA'!Q251)</f>
        <v>-</v>
      </c>
      <c r="J226" s="699" t="s">
        <v>362</v>
      </c>
      <c r="K226" s="700" t="str">
        <f>IF('Plot By Plot SoA'!K251=0,"-",'Plot By Plot SoA'!K251)</f>
        <v>Community Amenity</v>
      </c>
      <c r="L226" s="703" t="s">
        <v>79</v>
      </c>
    </row>
    <row r="227" spans="1:12" x14ac:dyDescent="0.35">
      <c r="A227" s="899"/>
      <c r="B227" s="699">
        <v>221</v>
      </c>
      <c r="C227" s="699" t="s">
        <v>17</v>
      </c>
      <c r="D227" s="700" t="s">
        <v>375</v>
      </c>
      <c r="E227" s="699">
        <v>43.4</v>
      </c>
      <c r="F227" s="701">
        <f t="shared" si="9"/>
        <v>467.15325999999999</v>
      </c>
      <c r="G227" s="699" t="s">
        <v>351</v>
      </c>
      <c r="H227" s="704">
        <v>1</v>
      </c>
      <c r="I227" s="700" t="str">
        <f>IF('Plot By Plot SoA'!Q252=0,"-",'Plot By Plot SoA'!Q252)</f>
        <v>-</v>
      </c>
      <c r="J227" s="699" t="s">
        <v>362</v>
      </c>
      <c r="K227" s="700" t="str">
        <f>IF('Plot By Plot SoA'!K252=0,"-",'Plot By Plot SoA'!K252)</f>
        <v>Balcony</v>
      </c>
      <c r="L227" s="703">
        <v>89</v>
      </c>
    </row>
    <row r="228" spans="1:12" x14ac:dyDescent="0.35">
      <c r="A228" s="899"/>
      <c r="B228" s="699">
        <v>222</v>
      </c>
      <c r="C228" s="699" t="s">
        <v>17</v>
      </c>
      <c r="D228" s="700" t="s">
        <v>375</v>
      </c>
      <c r="E228" s="699">
        <v>43.4</v>
      </c>
      <c r="F228" s="701">
        <f t="shared" si="9"/>
        <v>467.15325999999999</v>
      </c>
      <c r="G228" s="699" t="s">
        <v>351</v>
      </c>
      <c r="H228" s="704">
        <v>1</v>
      </c>
      <c r="I228" s="700" t="str">
        <f>IF('Plot By Plot SoA'!Q253=0,"-",'Plot By Plot SoA'!Q253)</f>
        <v>-</v>
      </c>
      <c r="J228" s="699" t="s">
        <v>362</v>
      </c>
      <c r="K228" s="700" t="str">
        <f>IF('Plot By Plot SoA'!K253=0,"-",'Plot By Plot SoA'!K253)</f>
        <v>Community Amenity</v>
      </c>
      <c r="L228" s="703" t="s">
        <v>79</v>
      </c>
    </row>
    <row r="229" spans="1:12" x14ac:dyDescent="0.35">
      <c r="A229" s="899"/>
      <c r="B229" s="699">
        <v>223</v>
      </c>
      <c r="C229" s="699" t="s">
        <v>17</v>
      </c>
      <c r="D229" s="700" t="s">
        <v>375</v>
      </c>
      <c r="E229" s="699">
        <v>43.4</v>
      </c>
      <c r="F229" s="701">
        <f t="shared" si="9"/>
        <v>467.15325999999999</v>
      </c>
      <c r="G229" s="699" t="s">
        <v>351</v>
      </c>
      <c r="H229" s="704">
        <v>1</v>
      </c>
      <c r="I229" s="700" t="str">
        <f>IF('Plot By Plot SoA'!Q254=0,"-",'Plot By Plot SoA'!Q254)</f>
        <v>-</v>
      </c>
      <c r="J229" s="699" t="s">
        <v>362</v>
      </c>
      <c r="K229" s="700" t="str">
        <f>IF('Plot By Plot SoA'!K254=0,"-",'Plot By Plot SoA'!K254)</f>
        <v>Balcony</v>
      </c>
      <c r="L229" s="703">
        <v>89</v>
      </c>
    </row>
    <row r="230" spans="1:12" x14ac:dyDescent="0.35">
      <c r="A230" s="899"/>
      <c r="B230" s="699">
        <v>224</v>
      </c>
      <c r="C230" s="699" t="s">
        <v>17</v>
      </c>
      <c r="D230" s="700" t="s">
        <v>375</v>
      </c>
      <c r="E230" s="699">
        <v>43.4</v>
      </c>
      <c r="F230" s="701">
        <f t="shared" si="9"/>
        <v>467.15325999999999</v>
      </c>
      <c r="G230" s="699" t="s">
        <v>351</v>
      </c>
      <c r="H230" s="705">
        <v>1</v>
      </c>
      <c r="I230" s="700" t="str">
        <f>IF('Plot By Plot SoA'!Q255=0,"-",'Plot By Plot SoA'!Q255)</f>
        <v>-</v>
      </c>
      <c r="J230" s="699" t="s">
        <v>362</v>
      </c>
      <c r="K230" s="700" t="str">
        <f>IF('Plot By Plot SoA'!K255=0,"-",'Plot By Plot SoA'!K255)</f>
        <v>Community Amenity</v>
      </c>
      <c r="L230" s="703" t="s">
        <v>79</v>
      </c>
    </row>
    <row r="231" spans="1:12" x14ac:dyDescent="0.35">
      <c r="A231" s="899"/>
      <c r="B231" s="699">
        <v>225</v>
      </c>
      <c r="C231" s="699" t="s">
        <v>17</v>
      </c>
      <c r="D231" s="700" t="s">
        <v>375</v>
      </c>
      <c r="E231" s="699">
        <v>51.2</v>
      </c>
      <c r="F231" s="701">
        <f t="shared" si="9"/>
        <v>551.11167999999998</v>
      </c>
      <c r="G231" s="699" t="s">
        <v>351</v>
      </c>
      <c r="H231" s="705">
        <v>1</v>
      </c>
      <c r="I231" s="700" t="str">
        <f>IF('Plot By Plot SoA'!Q256=0,"-",'Plot By Plot SoA'!Q256)</f>
        <v>-</v>
      </c>
      <c r="J231" s="699" t="s">
        <v>362</v>
      </c>
      <c r="K231" s="700" t="str">
        <f>IF('Plot By Plot SoA'!K256=0,"-",'Plot By Plot SoA'!K256)</f>
        <v>Balcony</v>
      </c>
      <c r="L231" s="703">
        <v>89</v>
      </c>
    </row>
    <row r="232" spans="1:12" x14ac:dyDescent="0.35">
      <c r="A232" s="899"/>
      <c r="B232" s="699">
        <v>226</v>
      </c>
      <c r="C232" s="699" t="s">
        <v>17</v>
      </c>
      <c r="D232" s="700" t="s">
        <v>375</v>
      </c>
      <c r="E232" s="699">
        <v>43.4</v>
      </c>
      <c r="F232" s="701">
        <f t="shared" si="9"/>
        <v>467.15325999999999</v>
      </c>
      <c r="G232" s="699" t="s">
        <v>351</v>
      </c>
      <c r="H232" s="705">
        <v>1</v>
      </c>
      <c r="I232" s="700" t="str">
        <f>IF('Plot By Plot SoA'!Q257=0,"-",'Plot By Plot SoA'!Q257)</f>
        <v>-</v>
      </c>
      <c r="J232" s="699" t="s">
        <v>362</v>
      </c>
      <c r="K232" s="700" t="str">
        <f>IF('Plot By Plot SoA'!K257=0,"-",'Plot By Plot SoA'!K257)</f>
        <v>Community Amenity</v>
      </c>
      <c r="L232" s="703" t="s">
        <v>79</v>
      </c>
    </row>
    <row r="233" spans="1:12" x14ac:dyDescent="0.35">
      <c r="A233" s="899"/>
      <c r="B233" s="699">
        <v>227</v>
      </c>
      <c r="C233" s="699" t="s">
        <v>17</v>
      </c>
      <c r="D233" s="700" t="s">
        <v>375</v>
      </c>
      <c r="E233" s="699">
        <v>43.4</v>
      </c>
      <c r="F233" s="701">
        <f t="shared" si="9"/>
        <v>467.15325999999999</v>
      </c>
      <c r="G233" s="699" t="s">
        <v>351</v>
      </c>
      <c r="H233" s="704">
        <v>1</v>
      </c>
      <c r="I233" s="700" t="str">
        <f>IF('Plot By Plot SoA'!Q258=0,"-",'Plot By Plot SoA'!Q258)</f>
        <v>-</v>
      </c>
      <c r="J233" s="699" t="s">
        <v>362</v>
      </c>
      <c r="K233" s="700" t="str">
        <f>IF('Plot By Plot SoA'!K258=0,"-",'Plot By Plot SoA'!K258)</f>
        <v>Community Amenity</v>
      </c>
      <c r="L233" s="703" t="s">
        <v>79</v>
      </c>
    </row>
    <row r="234" spans="1:12" x14ac:dyDescent="0.35">
      <c r="A234" s="899"/>
      <c r="B234" s="699">
        <v>228</v>
      </c>
      <c r="C234" s="699" t="s">
        <v>17</v>
      </c>
      <c r="D234" s="700" t="s">
        <v>375</v>
      </c>
      <c r="E234" s="699">
        <v>57.8</v>
      </c>
      <c r="F234" s="701">
        <f t="shared" si="9"/>
        <v>622.15341999999998</v>
      </c>
      <c r="G234" s="699" t="s">
        <v>351</v>
      </c>
      <c r="H234" s="704">
        <v>1</v>
      </c>
      <c r="I234" s="700" t="str">
        <f>IF('Plot By Plot SoA'!Q259=0,"-",'Plot By Plot SoA'!Q259)</f>
        <v>-</v>
      </c>
      <c r="J234" s="699" t="s">
        <v>362</v>
      </c>
      <c r="K234" s="700" t="str">
        <f>IF('Plot By Plot SoA'!K259=0,"-",'Plot By Plot SoA'!K259)</f>
        <v>Balcony</v>
      </c>
      <c r="L234" s="703">
        <v>74</v>
      </c>
    </row>
    <row r="235" spans="1:12" x14ac:dyDescent="0.35">
      <c r="A235" s="899"/>
      <c r="B235" s="699">
        <v>229</v>
      </c>
      <c r="C235" s="699" t="s">
        <v>17</v>
      </c>
      <c r="D235" s="700" t="s">
        <v>376</v>
      </c>
      <c r="E235" s="699">
        <v>56.2</v>
      </c>
      <c r="F235" s="701">
        <f t="shared" si="9"/>
        <v>604.93118000000004</v>
      </c>
      <c r="G235" s="699" t="s">
        <v>351</v>
      </c>
      <c r="H235" s="704">
        <v>1</v>
      </c>
      <c r="I235" s="700" t="str">
        <f>IF('Plot By Plot SoA'!Q260=0,"-",'Plot By Plot SoA'!Q260)</f>
        <v>-</v>
      </c>
      <c r="J235" s="699" t="s">
        <v>362</v>
      </c>
      <c r="K235" s="700" t="str">
        <f>IF('Plot By Plot SoA'!K260=0,"-",'Plot By Plot SoA'!K260)</f>
        <v>Community Amenity</v>
      </c>
      <c r="L235" s="703" t="s">
        <v>79</v>
      </c>
    </row>
    <row r="236" spans="1:12" x14ac:dyDescent="0.35">
      <c r="A236" s="899"/>
      <c r="B236" s="699">
        <v>230</v>
      </c>
      <c r="C236" s="699" t="s">
        <v>17</v>
      </c>
      <c r="D236" s="700" t="s">
        <v>376</v>
      </c>
      <c r="E236" s="699">
        <v>43.4</v>
      </c>
      <c r="F236" s="701">
        <f t="shared" si="9"/>
        <v>467.15325999999999</v>
      </c>
      <c r="G236" s="699" t="s">
        <v>351</v>
      </c>
      <c r="H236" s="704">
        <v>1</v>
      </c>
      <c r="I236" s="700" t="str">
        <f>IF('Plot By Plot SoA'!Q261=0,"-",'Plot By Plot SoA'!Q261)</f>
        <v>-</v>
      </c>
      <c r="J236" s="699" t="s">
        <v>362</v>
      </c>
      <c r="K236" s="700" t="str">
        <f>IF('Plot By Plot SoA'!K261=0,"-",'Plot By Plot SoA'!K261)</f>
        <v>Community Amenity</v>
      </c>
      <c r="L236" s="703" t="s">
        <v>79</v>
      </c>
    </row>
    <row r="237" spans="1:12" x14ac:dyDescent="0.35">
      <c r="A237" s="899"/>
      <c r="B237" s="699">
        <v>231</v>
      </c>
      <c r="C237" s="699" t="s">
        <v>17</v>
      </c>
      <c r="D237" s="700" t="s">
        <v>376</v>
      </c>
      <c r="E237" s="699">
        <v>43.4</v>
      </c>
      <c r="F237" s="701">
        <f t="shared" si="9"/>
        <v>467.15325999999999</v>
      </c>
      <c r="G237" s="699" t="s">
        <v>351</v>
      </c>
      <c r="H237" s="704">
        <v>1</v>
      </c>
      <c r="I237" s="700" t="str">
        <f>IF('Plot By Plot SoA'!Q262=0,"-",'Plot By Plot SoA'!Q262)</f>
        <v>-</v>
      </c>
      <c r="J237" s="699" t="s">
        <v>362</v>
      </c>
      <c r="K237" s="700" t="str">
        <f>IF('Plot By Plot SoA'!K262=0,"-",'Plot By Plot SoA'!K262)</f>
        <v>Balcony</v>
      </c>
      <c r="L237" s="703">
        <v>89</v>
      </c>
    </row>
    <row r="238" spans="1:12" x14ac:dyDescent="0.35">
      <c r="A238" s="899"/>
      <c r="B238" s="699">
        <v>232</v>
      </c>
      <c r="C238" s="699" t="s">
        <v>17</v>
      </c>
      <c r="D238" s="700" t="s">
        <v>376</v>
      </c>
      <c r="E238" s="699">
        <v>43.4</v>
      </c>
      <c r="F238" s="701">
        <f t="shared" si="9"/>
        <v>467.15325999999999</v>
      </c>
      <c r="G238" s="699" t="s">
        <v>351</v>
      </c>
      <c r="H238" s="705">
        <v>1</v>
      </c>
      <c r="I238" s="700" t="str">
        <f>IF('Plot By Plot SoA'!Q263=0,"-",'Plot By Plot SoA'!Q263)</f>
        <v>-</v>
      </c>
      <c r="J238" s="699" t="s">
        <v>362</v>
      </c>
      <c r="K238" s="700" t="str">
        <f>IF('Plot By Plot SoA'!K263=0,"-",'Plot By Plot SoA'!K263)</f>
        <v>Community Amenity</v>
      </c>
      <c r="L238" s="703" t="s">
        <v>79</v>
      </c>
    </row>
    <row r="239" spans="1:12" x14ac:dyDescent="0.35">
      <c r="A239" s="899"/>
      <c r="B239" s="699">
        <v>233</v>
      </c>
      <c r="C239" s="699" t="s">
        <v>17</v>
      </c>
      <c r="D239" s="700" t="s">
        <v>376</v>
      </c>
      <c r="E239" s="699">
        <v>43.4</v>
      </c>
      <c r="F239" s="701">
        <f t="shared" si="9"/>
        <v>467.15325999999999</v>
      </c>
      <c r="G239" s="699" t="s">
        <v>351</v>
      </c>
      <c r="H239" s="705">
        <v>1</v>
      </c>
      <c r="I239" s="700" t="str">
        <f>IF('Plot By Plot SoA'!Q264=0,"-",'Plot By Plot SoA'!Q264)</f>
        <v>-</v>
      </c>
      <c r="J239" s="699" t="s">
        <v>362</v>
      </c>
      <c r="K239" s="700" t="str">
        <f>IF('Plot By Plot SoA'!K264=0,"-",'Plot By Plot SoA'!K264)</f>
        <v>Balcony</v>
      </c>
      <c r="L239" s="703">
        <v>89</v>
      </c>
    </row>
    <row r="240" spans="1:12" x14ac:dyDescent="0.35">
      <c r="A240" s="899"/>
      <c r="B240" s="699">
        <v>234</v>
      </c>
      <c r="C240" s="699" t="s">
        <v>17</v>
      </c>
      <c r="D240" s="700" t="s">
        <v>376</v>
      </c>
      <c r="E240" s="699">
        <v>43.4</v>
      </c>
      <c r="F240" s="701">
        <f t="shared" si="9"/>
        <v>467.15325999999999</v>
      </c>
      <c r="G240" s="699" t="s">
        <v>351</v>
      </c>
      <c r="H240" s="705">
        <v>1</v>
      </c>
      <c r="I240" s="700" t="str">
        <f>IF('Plot By Plot SoA'!Q265=0,"-",'Plot By Plot SoA'!Q265)</f>
        <v>-</v>
      </c>
      <c r="J240" s="699" t="s">
        <v>362</v>
      </c>
      <c r="K240" s="700" t="str">
        <f>IF('Plot By Plot SoA'!K265=0,"-",'Plot By Plot SoA'!K265)</f>
        <v>Community Amenity</v>
      </c>
      <c r="L240" s="703" t="s">
        <v>79</v>
      </c>
    </row>
    <row r="241" spans="1:12" x14ac:dyDescent="0.35">
      <c r="A241" s="899"/>
      <c r="B241" s="699">
        <v>235</v>
      </c>
      <c r="C241" s="699" t="s">
        <v>17</v>
      </c>
      <c r="D241" s="700" t="s">
        <v>376</v>
      </c>
      <c r="E241" s="699">
        <v>43.4</v>
      </c>
      <c r="F241" s="701">
        <f t="shared" si="9"/>
        <v>467.15325999999999</v>
      </c>
      <c r="G241" s="699" t="s">
        <v>351</v>
      </c>
      <c r="H241" s="705">
        <v>1</v>
      </c>
      <c r="I241" s="700" t="str">
        <f>IF('Plot By Plot SoA'!Q266=0,"-",'Plot By Plot SoA'!Q266)</f>
        <v>-</v>
      </c>
      <c r="J241" s="699" t="s">
        <v>362</v>
      </c>
      <c r="K241" s="700" t="str">
        <f>IF('Plot By Plot SoA'!K266=0,"-",'Plot By Plot SoA'!K266)</f>
        <v>Balcony</v>
      </c>
      <c r="L241" s="703">
        <v>89</v>
      </c>
    </row>
    <row r="242" spans="1:12" x14ac:dyDescent="0.35">
      <c r="A242" s="899"/>
      <c r="B242" s="699">
        <v>236</v>
      </c>
      <c r="C242" s="699" t="s">
        <v>17</v>
      </c>
      <c r="D242" s="700" t="s">
        <v>376</v>
      </c>
      <c r="E242" s="699">
        <v>43.4</v>
      </c>
      <c r="F242" s="701">
        <f t="shared" si="9"/>
        <v>467.15325999999999</v>
      </c>
      <c r="G242" s="699" t="s">
        <v>351</v>
      </c>
      <c r="H242" s="705">
        <v>1</v>
      </c>
      <c r="I242" s="700" t="str">
        <f>IF('Plot By Plot SoA'!Q267=0,"-",'Plot By Plot SoA'!Q267)</f>
        <v>-</v>
      </c>
      <c r="J242" s="699" t="s">
        <v>362</v>
      </c>
      <c r="K242" s="700" t="str">
        <f>IF('Plot By Plot SoA'!K267=0,"-",'Plot By Plot SoA'!K267)</f>
        <v>Community Amenity</v>
      </c>
      <c r="L242" s="703" t="s">
        <v>79</v>
      </c>
    </row>
    <row r="243" spans="1:12" x14ac:dyDescent="0.35">
      <c r="A243" s="899"/>
      <c r="B243" s="699">
        <v>237</v>
      </c>
      <c r="C243" s="699" t="s">
        <v>17</v>
      </c>
      <c r="D243" s="700" t="s">
        <v>376</v>
      </c>
      <c r="E243" s="699">
        <v>51.2</v>
      </c>
      <c r="F243" s="701">
        <f t="shared" si="9"/>
        <v>551.11167999999998</v>
      </c>
      <c r="G243" s="699" t="s">
        <v>351</v>
      </c>
      <c r="H243" s="705">
        <v>1</v>
      </c>
      <c r="I243" s="700" t="str">
        <f>IF('Plot By Plot SoA'!Q268=0,"-",'Plot By Plot SoA'!Q268)</f>
        <v>-</v>
      </c>
      <c r="J243" s="699" t="s">
        <v>362</v>
      </c>
      <c r="K243" s="700" t="str">
        <f>IF('Plot By Plot SoA'!K268=0,"-",'Plot By Plot SoA'!K268)</f>
        <v>Balcony</v>
      </c>
      <c r="L243" s="703">
        <v>89</v>
      </c>
    </row>
    <row r="244" spans="1:12" x14ac:dyDescent="0.35">
      <c r="A244" s="899"/>
      <c r="B244" s="699">
        <v>238</v>
      </c>
      <c r="C244" s="699" t="s">
        <v>17</v>
      </c>
      <c r="D244" s="700" t="s">
        <v>376</v>
      </c>
      <c r="E244" s="699">
        <v>43.4</v>
      </c>
      <c r="F244" s="701">
        <f t="shared" si="9"/>
        <v>467.15325999999999</v>
      </c>
      <c r="G244" s="699" t="s">
        <v>351</v>
      </c>
      <c r="H244" s="705">
        <v>1</v>
      </c>
      <c r="I244" s="700" t="str">
        <f>IF('Plot By Plot SoA'!Q269=0,"-",'Plot By Plot SoA'!Q269)</f>
        <v>-</v>
      </c>
      <c r="J244" s="699" t="s">
        <v>362</v>
      </c>
      <c r="K244" s="700" t="str">
        <f>IF('Plot By Plot SoA'!K269=0,"-",'Plot By Plot SoA'!K269)</f>
        <v>Community Amenity</v>
      </c>
      <c r="L244" s="703" t="s">
        <v>79</v>
      </c>
    </row>
    <row r="245" spans="1:12" x14ac:dyDescent="0.35">
      <c r="A245" s="899"/>
      <c r="B245" s="699">
        <v>239</v>
      </c>
      <c r="C245" s="699" t="s">
        <v>17</v>
      </c>
      <c r="D245" s="700" t="s">
        <v>376</v>
      </c>
      <c r="E245" s="699">
        <v>43.4</v>
      </c>
      <c r="F245" s="701">
        <f t="shared" si="9"/>
        <v>467.15325999999999</v>
      </c>
      <c r="G245" s="699" t="s">
        <v>351</v>
      </c>
      <c r="H245" s="705">
        <v>1</v>
      </c>
      <c r="I245" s="700" t="str">
        <f>IF('Plot By Plot SoA'!Q270=0,"-",'Plot By Plot SoA'!Q270)</f>
        <v>-</v>
      </c>
      <c r="J245" s="699" t="s">
        <v>362</v>
      </c>
      <c r="K245" s="700" t="str">
        <f>IF('Plot By Plot SoA'!K270=0,"-",'Plot By Plot SoA'!K270)</f>
        <v>Community Amenity</v>
      </c>
      <c r="L245" s="703" t="s">
        <v>79</v>
      </c>
    </row>
    <row r="246" spans="1:12" x14ac:dyDescent="0.35">
      <c r="A246" s="899"/>
      <c r="B246" s="699">
        <v>240</v>
      </c>
      <c r="C246" s="699" t="s">
        <v>17</v>
      </c>
      <c r="D246" s="700" t="s">
        <v>376</v>
      </c>
      <c r="E246" s="699">
        <v>57.8</v>
      </c>
      <c r="F246" s="701">
        <f t="shared" si="9"/>
        <v>622.15341999999998</v>
      </c>
      <c r="G246" s="699" t="s">
        <v>351</v>
      </c>
      <c r="H246" s="705">
        <v>1</v>
      </c>
      <c r="I246" s="700" t="str">
        <f>IF('Plot By Plot SoA'!Q271=0,"-",'Plot By Plot SoA'!Q271)</f>
        <v>-</v>
      </c>
      <c r="J246" s="699" t="s">
        <v>362</v>
      </c>
      <c r="K246" s="700" t="str">
        <f>IF('Plot By Plot SoA'!K271=0,"-",'Plot By Plot SoA'!K271)</f>
        <v>Balcony</v>
      </c>
      <c r="L246" s="703">
        <v>74</v>
      </c>
    </row>
    <row r="247" spans="1:12" x14ac:dyDescent="0.35">
      <c r="A247" s="899"/>
      <c r="B247" s="699">
        <v>241</v>
      </c>
      <c r="C247" s="699" t="s">
        <v>17</v>
      </c>
      <c r="D247" s="700" t="s">
        <v>378</v>
      </c>
      <c r="E247" s="699">
        <v>53.3</v>
      </c>
      <c r="F247" s="701">
        <f t="shared" si="9"/>
        <v>573.71587</v>
      </c>
      <c r="G247" s="699" t="s">
        <v>351</v>
      </c>
      <c r="H247" s="705">
        <v>1</v>
      </c>
      <c r="I247" s="700" t="str">
        <f>IF('Plot By Plot SoA'!Q272=0,"-",'Plot By Plot SoA'!Q272)</f>
        <v>-</v>
      </c>
      <c r="J247" s="699" t="s">
        <v>362</v>
      </c>
      <c r="K247" s="700" t="str">
        <f>IF('Plot By Plot SoA'!K272=0,"-",'Plot By Plot SoA'!K272)</f>
        <v>Community Amenity</v>
      </c>
      <c r="L247" s="703" t="s">
        <v>79</v>
      </c>
    </row>
    <row r="248" spans="1:12" x14ac:dyDescent="0.35">
      <c r="A248" s="899"/>
      <c r="B248" s="699">
        <v>242</v>
      </c>
      <c r="C248" s="699" t="s">
        <v>17</v>
      </c>
      <c r="D248" s="700" t="s">
        <v>378</v>
      </c>
      <c r="E248" s="699">
        <v>43.4</v>
      </c>
      <c r="F248" s="701">
        <f t="shared" si="9"/>
        <v>467.15325999999999</v>
      </c>
      <c r="G248" s="699" t="s">
        <v>351</v>
      </c>
      <c r="H248" s="705">
        <v>1</v>
      </c>
      <c r="I248" s="700" t="str">
        <f>IF('Plot By Plot SoA'!Q273=0,"-",'Plot By Plot SoA'!Q273)</f>
        <v>-</v>
      </c>
      <c r="J248" s="699" t="s">
        <v>362</v>
      </c>
      <c r="K248" s="700" t="str">
        <f>IF('Plot By Plot SoA'!K273=0,"-",'Plot By Plot SoA'!K273)</f>
        <v>Community Amenity</v>
      </c>
      <c r="L248" s="703" t="s">
        <v>79</v>
      </c>
    </row>
    <row r="249" spans="1:12" x14ac:dyDescent="0.35">
      <c r="A249" s="899"/>
      <c r="B249" s="699">
        <v>243</v>
      </c>
      <c r="C249" s="699" t="s">
        <v>17</v>
      </c>
      <c r="D249" s="700" t="s">
        <v>378</v>
      </c>
      <c r="E249" s="699">
        <v>43.4</v>
      </c>
      <c r="F249" s="701">
        <f t="shared" si="9"/>
        <v>467.15325999999999</v>
      </c>
      <c r="G249" s="699" t="s">
        <v>351</v>
      </c>
      <c r="H249" s="705">
        <v>1</v>
      </c>
      <c r="I249" s="700" t="str">
        <f>IF('Plot By Plot SoA'!Q274=0,"-",'Plot By Plot SoA'!Q274)</f>
        <v>-</v>
      </c>
      <c r="J249" s="699" t="s">
        <v>362</v>
      </c>
      <c r="K249" s="700" t="str">
        <f>IF('Plot By Plot SoA'!K274=0,"-",'Plot By Plot SoA'!K274)</f>
        <v>Balcony</v>
      </c>
      <c r="L249" s="703" t="s">
        <v>79</v>
      </c>
    </row>
    <row r="250" spans="1:12" x14ac:dyDescent="0.35">
      <c r="A250" s="899"/>
      <c r="B250" s="699">
        <v>244</v>
      </c>
      <c r="C250" s="699" t="s">
        <v>17</v>
      </c>
      <c r="D250" s="700" t="s">
        <v>378</v>
      </c>
      <c r="E250" s="699">
        <v>43.4</v>
      </c>
      <c r="F250" s="701">
        <f t="shared" si="9"/>
        <v>467.15325999999999</v>
      </c>
      <c r="G250" s="699" t="s">
        <v>351</v>
      </c>
      <c r="H250" s="705">
        <v>1</v>
      </c>
      <c r="I250" s="700" t="str">
        <f>IF('Plot By Plot SoA'!Q275=0,"-",'Plot By Plot SoA'!Q275)</f>
        <v>-</v>
      </c>
      <c r="J250" s="699" t="s">
        <v>362</v>
      </c>
      <c r="K250" s="700" t="str">
        <f>IF('Plot By Plot SoA'!K275=0,"-",'Plot By Plot SoA'!K275)</f>
        <v>Community Amenity</v>
      </c>
      <c r="L250" s="703" t="s">
        <v>79</v>
      </c>
    </row>
    <row r="251" spans="1:12" x14ac:dyDescent="0.35">
      <c r="A251" s="899"/>
      <c r="B251" s="699">
        <v>245</v>
      </c>
      <c r="C251" s="699" t="s">
        <v>17</v>
      </c>
      <c r="D251" s="700" t="s">
        <v>378</v>
      </c>
      <c r="E251" s="699">
        <v>43.4</v>
      </c>
      <c r="F251" s="701">
        <f t="shared" si="9"/>
        <v>467.15325999999999</v>
      </c>
      <c r="G251" s="699" t="s">
        <v>351</v>
      </c>
      <c r="H251" s="705">
        <v>1</v>
      </c>
      <c r="I251" s="700" t="str">
        <f>IF('Plot By Plot SoA'!Q276=0,"-",'Plot By Plot SoA'!Q276)</f>
        <v>-</v>
      </c>
      <c r="J251" s="699" t="s">
        <v>362</v>
      </c>
      <c r="K251" s="700" t="str">
        <f>IF('Plot By Plot SoA'!K276=0,"-",'Plot By Plot SoA'!K276)</f>
        <v>Balcony</v>
      </c>
      <c r="L251" s="703" t="s">
        <v>79</v>
      </c>
    </row>
    <row r="252" spans="1:12" x14ac:dyDescent="0.35">
      <c r="A252" s="899"/>
      <c r="B252" s="699">
        <v>246</v>
      </c>
      <c r="C252" s="699" t="s">
        <v>17</v>
      </c>
      <c r="D252" s="700" t="s">
        <v>378</v>
      </c>
      <c r="E252" s="699">
        <v>43.4</v>
      </c>
      <c r="F252" s="701">
        <f t="shared" si="9"/>
        <v>467.15325999999999</v>
      </c>
      <c r="G252" s="699" t="s">
        <v>351</v>
      </c>
      <c r="H252" s="705">
        <v>1</v>
      </c>
      <c r="I252" s="700" t="str">
        <f>IF('Plot By Plot SoA'!Q277=0,"-",'Plot By Plot SoA'!Q277)</f>
        <v>-</v>
      </c>
      <c r="J252" s="699" t="s">
        <v>362</v>
      </c>
      <c r="K252" s="700" t="str">
        <f>IF('Plot By Plot SoA'!K277=0,"-",'Plot By Plot SoA'!K277)</f>
        <v>Community Amenity</v>
      </c>
      <c r="L252" s="703" t="s">
        <v>79</v>
      </c>
    </row>
    <row r="253" spans="1:12" x14ac:dyDescent="0.35">
      <c r="A253" s="899"/>
      <c r="B253" s="699">
        <v>247</v>
      </c>
      <c r="C253" s="699" t="s">
        <v>17</v>
      </c>
      <c r="D253" s="700" t="s">
        <v>378</v>
      </c>
      <c r="E253" s="699">
        <v>43.4</v>
      </c>
      <c r="F253" s="701">
        <f t="shared" si="9"/>
        <v>467.15325999999999</v>
      </c>
      <c r="G253" s="699" t="s">
        <v>351</v>
      </c>
      <c r="H253" s="705">
        <v>1</v>
      </c>
      <c r="I253" s="700" t="str">
        <f>IF('Plot By Plot SoA'!Q278=0,"-",'Plot By Plot SoA'!Q278)</f>
        <v>-</v>
      </c>
      <c r="J253" s="699" t="s">
        <v>362</v>
      </c>
      <c r="K253" s="700" t="str">
        <f>IF('Plot By Plot SoA'!K278=0,"-",'Plot By Plot SoA'!K278)</f>
        <v>Balcony</v>
      </c>
      <c r="L253" s="703" t="s">
        <v>79</v>
      </c>
    </row>
    <row r="254" spans="1:12" x14ac:dyDescent="0.35">
      <c r="A254" s="899"/>
      <c r="B254" s="699">
        <v>248</v>
      </c>
      <c r="C254" s="699" t="s">
        <v>17</v>
      </c>
      <c r="D254" s="700" t="s">
        <v>378</v>
      </c>
      <c r="E254" s="699">
        <v>43.4</v>
      </c>
      <c r="F254" s="701">
        <f t="shared" si="9"/>
        <v>467.15325999999999</v>
      </c>
      <c r="G254" s="699" t="s">
        <v>351</v>
      </c>
      <c r="H254" s="705">
        <v>1</v>
      </c>
      <c r="I254" s="700" t="str">
        <f>IF('Plot By Plot SoA'!Q279=0,"-",'Plot By Plot SoA'!Q279)</f>
        <v>-</v>
      </c>
      <c r="J254" s="699" t="s">
        <v>362</v>
      </c>
      <c r="K254" s="700" t="str">
        <f>IF('Plot By Plot SoA'!K279=0,"-",'Plot By Plot SoA'!K279)</f>
        <v>Community Amenity</v>
      </c>
      <c r="L254" s="703" t="s">
        <v>79</v>
      </c>
    </row>
    <row r="255" spans="1:12" x14ac:dyDescent="0.35">
      <c r="A255" s="899"/>
      <c r="B255" s="699">
        <v>249</v>
      </c>
      <c r="C255" s="699" t="s">
        <v>17</v>
      </c>
      <c r="D255" s="700" t="s">
        <v>378</v>
      </c>
      <c r="E255" s="699">
        <v>51.2</v>
      </c>
      <c r="F255" s="701">
        <f t="shared" si="9"/>
        <v>551.11167999999998</v>
      </c>
      <c r="G255" s="699" t="s">
        <v>351</v>
      </c>
      <c r="H255" s="705">
        <v>1</v>
      </c>
      <c r="I255" s="700" t="str">
        <f>IF('Plot By Plot SoA'!Q280=0,"-",'Plot By Plot SoA'!Q280)</f>
        <v>-</v>
      </c>
      <c r="J255" s="699" t="s">
        <v>362</v>
      </c>
      <c r="K255" s="700" t="str">
        <f>IF('Plot By Plot SoA'!K280=0,"-",'Plot By Plot SoA'!K280)</f>
        <v>Balcony</v>
      </c>
      <c r="L255" s="703" t="s">
        <v>79</v>
      </c>
    </row>
    <row r="256" spans="1:12" x14ac:dyDescent="0.35">
      <c r="A256" s="899"/>
      <c r="B256" s="699">
        <v>250</v>
      </c>
      <c r="C256" s="699" t="s">
        <v>17</v>
      </c>
      <c r="D256" s="700" t="s">
        <v>378</v>
      </c>
      <c r="E256" s="699">
        <v>43.4</v>
      </c>
      <c r="F256" s="701">
        <f t="shared" si="9"/>
        <v>467.15325999999999</v>
      </c>
      <c r="G256" s="699" t="s">
        <v>351</v>
      </c>
      <c r="H256" s="705">
        <v>1</v>
      </c>
      <c r="I256" s="700" t="str">
        <f>IF('Plot By Plot SoA'!Q281=0,"-",'Plot By Plot SoA'!Q281)</f>
        <v>-</v>
      </c>
      <c r="J256" s="699" t="s">
        <v>362</v>
      </c>
      <c r="K256" s="700" t="str">
        <f>IF('Plot By Plot SoA'!K281=0,"-",'Plot By Plot SoA'!K281)</f>
        <v>Community Amenity</v>
      </c>
      <c r="L256" s="703" t="s">
        <v>79</v>
      </c>
    </row>
    <row r="257" spans="1:12" x14ac:dyDescent="0.35">
      <c r="A257" s="899"/>
      <c r="B257" s="699">
        <v>251</v>
      </c>
      <c r="C257" s="699" t="s">
        <v>17</v>
      </c>
      <c r="D257" s="700" t="s">
        <v>378</v>
      </c>
      <c r="E257" s="699">
        <v>43.4</v>
      </c>
      <c r="F257" s="701">
        <f t="shared" si="9"/>
        <v>467.15325999999999</v>
      </c>
      <c r="G257" s="699" t="s">
        <v>351</v>
      </c>
      <c r="H257" s="706">
        <v>1</v>
      </c>
      <c r="I257" s="700" t="str">
        <f>IF('Plot By Plot SoA'!Q282=0,"-",'Plot By Plot SoA'!Q282)</f>
        <v>-</v>
      </c>
      <c r="J257" s="699" t="s">
        <v>362</v>
      </c>
      <c r="K257" s="700" t="str">
        <f>IF('Plot By Plot SoA'!K282=0,"-",'Plot By Plot SoA'!K282)</f>
        <v>Community Amenity</v>
      </c>
      <c r="L257" s="703" t="s">
        <v>79</v>
      </c>
    </row>
    <row r="258" spans="1:12" x14ac:dyDescent="0.35">
      <c r="A258" s="899"/>
      <c r="B258" s="699">
        <v>252</v>
      </c>
      <c r="C258" s="699" t="s">
        <v>17</v>
      </c>
      <c r="D258" s="700" t="s">
        <v>378</v>
      </c>
      <c r="E258" s="699">
        <v>57.8</v>
      </c>
      <c r="F258" s="701">
        <f>SUM(E258*10.7639)</f>
        <v>622.15341999999998</v>
      </c>
      <c r="G258" s="699" t="s">
        <v>351</v>
      </c>
      <c r="H258" s="705">
        <v>1</v>
      </c>
      <c r="I258" s="700" t="str">
        <f>IF('Plot By Plot SoA'!Q283=0,"-",'Plot By Plot SoA'!Q283)</f>
        <v>-</v>
      </c>
      <c r="J258" s="699" t="s">
        <v>362</v>
      </c>
      <c r="K258" s="700" t="str">
        <f>IF('Plot By Plot SoA'!K283=0,"-",'Plot By Plot SoA'!K283)</f>
        <v>Balcony</v>
      </c>
      <c r="L258" s="703">
        <v>74</v>
      </c>
    </row>
    <row r="259" spans="1:12" x14ac:dyDescent="0.35">
      <c r="A259" s="899"/>
      <c r="B259" s="699">
        <v>253</v>
      </c>
      <c r="C259" s="699" t="s">
        <v>17</v>
      </c>
      <c r="D259" s="700" t="s">
        <v>379</v>
      </c>
      <c r="E259" s="699">
        <v>43.4</v>
      </c>
      <c r="F259" s="701">
        <f t="shared" si="9"/>
        <v>467.15325999999999</v>
      </c>
      <c r="G259" s="699" t="s">
        <v>351</v>
      </c>
      <c r="H259" s="705">
        <v>1</v>
      </c>
      <c r="I259" s="700" t="str">
        <f>IF('Plot By Plot SoA'!Q284=0,"-",'Plot By Plot SoA'!Q284)</f>
        <v>-</v>
      </c>
      <c r="J259" s="699" t="s">
        <v>362</v>
      </c>
      <c r="K259" s="700" t="str">
        <f>IF('Plot By Plot SoA'!K284=0,"-",'Plot By Plot SoA'!K284)</f>
        <v>Community Amenity</v>
      </c>
      <c r="L259" s="703" t="s">
        <v>79</v>
      </c>
    </row>
    <row r="260" spans="1:12" x14ac:dyDescent="0.35">
      <c r="A260" s="899"/>
      <c r="B260" s="699">
        <v>254</v>
      </c>
      <c r="C260" s="699" t="s">
        <v>17</v>
      </c>
      <c r="D260" s="700" t="s">
        <v>379</v>
      </c>
      <c r="E260" s="699">
        <v>43.4</v>
      </c>
      <c r="F260" s="701">
        <f t="shared" si="9"/>
        <v>467.15325999999999</v>
      </c>
      <c r="G260" s="699" t="s">
        <v>351</v>
      </c>
      <c r="H260" s="705">
        <v>1</v>
      </c>
      <c r="I260" s="700" t="str">
        <f>IF('Plot By Plot SoA'!Q285=0,"-",'Plot By Plot SoA'!Q285)</f>
        <v>-</v>
      </c>
      <c r="J260" s="699" t="s">
        <v>362</v>
      </c>
      <c r="K260" s="700" t="str">
        <f>IF('Plot By Plot SoA'!K285=0,"-",'Plot By Plot SoA'!K285)</f>
        <v>Balcony</v>
      </c>
      <c r="L260" s="703">
        <v>89</v>
      </c>
    </row>
    <row r="261" spans="1:12" x14ac:dyDescent="0.35">
      <c r="A261" s="899"/>
      <c r="B261" s="699">
        <v>255</v>
      </c>
      <c r="C261" s="699" t="s">
        <v>17</v>
      </c>
      <c r="D261" s="700" t="s">
        <v>379</v>
      </c>
      <c r="E261" s="699">
        <v>43.4</v>
      </c>
      <c r="F261" s="701">
        <f t="shared" si="9"/>
        <v>467.15325999999999</v>
      </c>
      <c r="G261" s="699" t="s">
        <v>351</v>
      </c>
      <c r="H261" s="705">
        <v>1</v>
      </c>
      <c r="I261" s="700" t="str">
        <f>IF('Plot By Plot SoA'!Q286=0,"-",'Plot By Plot SoA'!Q286)</f>
        <v>-</v>
      </c>
      <c r="J261" s="699" t="s">
        <v>362</v>
      </c>
      <c r="K261" s="700" t="str">
        <f>IF('Plot By Plot SoA'!K286=0,"-",'Plot By Plot SoA'!K286)</f>
        <v>Community Amenity</v>
      </c>
      <c r="L261" s="703" t="s">
        <v>79</v>
      </c>
    </row>
    <row r="262" spans="1:12" x14ac:dyDescent="0.35">
      <c r="A262" s="899"/>
      <c r="B262" s="699">
        <v>256</v>
      </c>
      <c r="C262" s="699" t="s">
        <v>17</v>
      </c>
      <c r="D262" s="700" t="s">
        <v>379</v>
      </c>
      <c r="E262" s="699">
        <v>43.4</v>
      </c>
      <c r="F262" s="701">
        <f t="shared" si="9"/>
        <v>467.15325999999999</v>
      </c>
      <c r="G262" s="699" t="s">
        <v>351</v>
      </c>
      <c r="H262" s="705">
        <v>1</v>
      </c>
      <c r="I262" s="700" t="str">
        <f>IF('Plot By Plot SoA'!Q287=0,"-",'Plot By Plot SoA'!Q287)</f>
        <v>-</v>
      </c>
      <c r="J262" s="699" t="s">
        <v>362</v>
      </c>
      <c r="K262" s="700" t="str">
        <f>IF('Plot By Plot SoA'!K287=0,"-",'Plot By Plot SoA'!K287)</f>
        <v>Balcony</v>
      </c>
      <c r="L262" s="703">
        <v>89</v>
      </c>
    </row>
    <row r="263" spans="1:12" x14ac:dyDescent="0.35">
      <c r="A263" s="899"/>
      <c r="B263" s="699">
        <v>257</v>
      </c>
      <c r="C263" s="699" t="s">
        <v>17</v>
      </c>
      <c r="D263" s="700" t="s">
        <v>379</v>
      </c>
      <c r="E263" s="699">
        <v>43.4</v>
      </c>
      <c r="F263" s="701">
        <f t="shared" si="9"/>
        <v>467.15325999999999</v>
      </c>
      <c r="G263" s="699" t="s">
        <v>351</v>
      </c>
      <c r="H263" s="705">
        <v>1</v>
      </c>
      <c r="I263" s="700" t="str">
        <f>IF('Plot By Plot SoA'!Q288=0,"-",'Plot By Plot SoA'!Q288)</f>
        <v>-</v>
      </c>
      <c r="J263" s="699" t="s">
        <v>362</v>
      </c>
      <c r="K263" s="700" t="str">
        <f>IF('Plot By Plot SoA'!K288=0,"-",'Plot By Plot SoA'!K288)</f>
        <v>Community Amenity</v>
      </c>
      <c r="L263" s="703" t="s">
        <v>79</v>
      </c>
    </row>
    <row r="264" spans="1:12" x14ac:dyDescent="0.35">
      <c r="A264" s="899"/>
      <c r="B264" s="699">
        <v>258</v>
      </c>
      <c r="C264" s="699" t="s">
        <v>17</v>
      </c>
      <c r="D264" s="700" t="s">
        <v>379</v>
      </c>
      <c r="E264" s="699">
        <v>43.4</v>
      </c>
      <c r="F264" s="701">
        <f t="shared" ref="F264:F311" si="10">SUM(E264*10.7639)</f>
        <v>467.15325999999999</v>
      </c>
      <c r="G264" s="699" t="s">
        <v>351</v>
      </c>
      <c r="H264" s="705">
        <v>1</v>
      </c>
      <c r="I264" s="700" t="str">
        <f>IF('Plot By Plot SoA'!Q289=0,"-",'Plot By Plot SoA'!Q289)</f>
        <v>-</v>
      </c>
      <c r="J264" s="699" t="s">
        <v>362</v>
      </c>
      <c r="K264" s="700" t="str">
        <f>IF('Plot By Plot SoA'!K289=0,"-",'Plot By Plot SoA'!K289)</f>
        <v>Balcony</v>
      </c>
      <c r="L264" s="703">
        <v>89</v>
      </c>
    </row>
    <row r="265" spans="1:12" x14ac:dyDescent="0.35">
      <c r="A265" s="899"/>
      <c r="B265" s="699">
        <v>259</v>
      </c>
      <c r="C265" s="699" t="s">
        <v>17</v>
      </c>
      <c r="D265" s="700" t="s">
        <v>379</v>
      </c>
      <c r="E265" s="699">
        <v>43.4</v>
      </c>
      <c r="F265" s="701">
        <f t="shared" si="10"/>
        <v>467.15325999999999</v>
      </c>
      <c r="G265" s="699" t="s">
        <v>351</v>
      </c>
      <c r="H265" s="705">
        <v>1</v>
      </c>
      <c r="I265" s="700" t="str">
        <f>IF('Plot By Plot SoA'!Q290=0,"-",'Plot By Plot SoA'!Q290)</f>
        <v>-</v>
      </c>
      <c r="J265" s="699" t="s">
        <v>362</v>
      </c>
      <c r="K265" s="700" t="str">
        <f>IF('Plot By Plot SoA'!K290=0,"-",'Plot By Plot SoA'!K290)</f>
        <v>Community Amenity</v>
      </c>
      <c r="L265" s="703" t="s">
        <v>79</v>
      </c>
    </row>
    <row r="266" spans="1:12" x14ac:dyDescent="0.35">
      <c r="A266" s="899"/>
      <c r="B266" s="699">
        <v>260</v>
      </c>
      <c r="C266" s="699" t="s">
        <v>17</v>
      </c>
      <c r="D266" s="700" t="s">
        <v>379</v>
      </c>
      <c r="E266" s="699">
        <v>51.2</v>
      </c>
      <c r="F266" s="701">
        <f t="shared" si="10"/>
        <v>551.11167999999998</v>
      </c>
      <c r="G266" s="699" t="s">
        <v>351</v>
      </c>
      <c r="H266" s="705">
        <v>1</v>
      </c>
      <c r="I266" s="700" t="str">
        <f>IF('Plot By Plot SoA'!Q291=0,"-",'Plot By Plot SoA'!Q291)</f>
        <v>-</v>
      </c>
      <c r="J266" s="699" t="s">
        <v>362</v>
      </c>
      <c r="K266" s="700" t="str">
        <f>IF('Plot By Plot SoA'!K291=0,"-",'Plot By Plot SoA'!K291)</f>
        <v>Balcony</v>
      </c>
      <c r="L266" s="703">
        <v>89</v>
      </c>
    </row>
    <row r="267" spans="1:12" x14ac:dyDescent="0.35">
      <c r="A267" s="899"/>
      <c r="B267" s="699">
        <v>261</v>
      </c>
      <c r="C267" s="699" t="s">
        <v>17</v>
      </c>
      <c r="D267" s="700" t="s">
        <v>379</v>
      </c>
      <c r="E267" s="699">
        <v>43.4</v>
      </c>
      <c r="F267" s="701">
        <f t="shared" si="10"/>
        <v>467.15325999999999</v>
      </c>
      <c r="G267" s="699" t="s">
        <v>351</v>
      </c>
      <c r="H267" s="705">
        <v>1</v>
      </c>
      <c r="I267" s="700" t="str">
        <f>IF('Plot By Plot SoA'!Q292=0,"-",'Plot By Plot SoA'!Q292)</f>
        <v>-</v>
      </c>
      <c r="J267" s="699" t="s">
        <v>362</v>
      </c>
      <c r="K267" s="700" t="str">
        <f>IF('Plot By Plot SoA'!K292=0,"-",'Plot By Plot SoA'!K292)</f>
        <v>Community Amenity</v>
      </c>
      <c r="L267" s="703" t="s">
        <v>79</v>
      </c>
    </row>
    <row r="268" spans="1:12" x14ac:dyDescent="0.35">
      <c r="A268" s="899"/>
      <c r="B268" s="699">
        <v>262</v>
      </c>
      <c r="C268" s="699" t="s">
        <v>17</v>
      </c>
      <c r="D268" s="700" t="s">
        <v>379</v>
      </c>
      <c r="E268" s="699">
        <v>43.4</v>
      </c>
      <c r="F268" s="701">
        <f t="shared" si="10"/>
        <v>467.15325999999999</v>
      </c>
      <c r="G268" s="699" t="s">
        <v>351</v>
      </c>
      <c r="H268" s="705">
        <v>1</v>
      </c>
      <c r="I268" s="700" t="str">
        <f>IF('Plot By Plot SoA'!Q293=0,"-",'Plot By Plot SoA'!Q293)</f>
        <v>-</v>
      </c>
      <c r="J268" s="699" t="s">
        <v>362</v>
      </c>
      <c r="K268" s="700" t="str">
        <f>IF('Plot By Plot SoA'!K293=0,"-",'Plot By Plot SoA'!K293)</f>
        <v>Community Amenity</v>
      </c>
      <c r="L268" s="703" t="s">
        <v>79</v>
      </c>
    </row>
    <row r="269" spans="1:12" x14ac:dyDescent="0.35">
      <c r="A269" s="899"/>
      <c r="B269" s="699">
        <v>263</v>
      </c>
      <c r="C269" s="699" t="s">
        <v>17</v>
      </c>
      <c r="D269" s="700" t="s">
        <v>380</v>
      </c>
      <c r="E269" s="699">
        <v>43.4</v>
      </c>
      <c r="F269" s="701">
        <f t="shared" si="10"/>
        <v>467.15325999999999</v>
      </c>
      <c r="G269" s="699" t="s">
        <v>351</v>
      </c>
      <c r="H269" s="705">
        <v>1</v>
      </c>
      <c r="I269" s="700" t="str">
        <f>IF('Plot By Plot SoA'!Q294=0,"-",'Plot By Plot SoA'!Q294)</f>
        <v>-</v>
      </c>
      <c r="J269" s="699" t="s">
        <v>362</v>
      </c>
      <c r="K269" s="700" t="str">
        <f>IF('Plot By Plot SoA'!K294=0,"-",'Plot By Plot SoA'!K294)</f>
        <v>Community Amenity</v>
      </c>
      <c r="L269" s="703" t="s">
        <v>79</v>
      </c>
    </row>
    <row r="270" spans="1:12" x14ac:dyDescent="0.35">
      <c r="A270" s="899"/>
      <c r="B270" s="699">
        <v>264</v>
      </c>
      <c r="C270" s="699" t="s">
        <v>17</v>
      </c>
      <c r="D270" s="700" t="s">
        <v>380</v>
      </c>
      <c r="E270" s="699">
        <v>43.4</v>
      </c>
      <c r="F270" s="701">
        <f t="shared" si="10"/>
        <v>467.15325999999999</v>
      </c>
      <c r="G270" s="699" t="s">
        <v>351</v>
      </c>
      <c r="H270" s="705">
        <v>1</v>
      </c>
      <c r="I270" s="700" t="str">
        <f>IF('Plot By Plot SoA'!Q295=0,"-",'Plot By Plot SoA'!Q295)</f>
        <v>-</v>
      </c>
      <c r="J270" s="699" t="s">
        <v>362</v>
      </c>
      <c r="K270" s="700" t="str">
        <f>IF('Plot By Plot SoA'!K295=0,"-",'Plot By Plot SoA'!K295)</f>
        <v>Balcony</v>
      </c>
      <c r="L270" s="703" t="s">
        <v>79</v>
      </c>
    </row>
    <row r="271" spans="1:12" x14ac:dyDescent="0.35">
      <c r="A271" s="899"/>
      <c r="B271" s="699">
        <v>265</v>
      </c>
      <c r="C271" s="699" t="s">
        <v>17</v>
      </c>
      <c r="D271" s="700" t="s">
        <v>380</v>
      </c>
      <c r="E271" s="699">
        <v>43.4</v>
      </c>
      <c r="F271" s="701">
        <f t="shared" si="10"/>
        <v>467.15325999999999</v>
      </c>
      <c r="G271" s="699" t="s">
        <v>351</v>
      </c>
      <c r="H271" s="705">
        <v>1</v>
      </c>
      <c r="I271" s="700" t="str">
        <f>IF('Plot By Plot SoA'!Q296=0,"-",'Plot By Plot SoA'!Q296)</f>
        <v>-</v>
      </c>
      <c r="J271" s="699" t="s">
        <v>362</v>
      </c>
      <c r="K271" s="700" t="str">
        <f>IF('Plot By Plot SoA'!K296=0,"-",'Plot By Plot SoA'!K296)</f>
        <v>Community Amenity</v>
      </c>
      <c r="L271" s="703" t="s">
        <v>79</v>
      </c>
    </row>
    <row r="272" spans="1:12" x14ac:dyDescent="0.35">
      <c r="A272" s="899"/>
      <c r="B272" s="699">
        <v>266</v>
      </c>
      <c r="C272" s="699" t="s">
        <v>17</v>
      </c>
      <c r="D272" s="700" t="s">
        <v>380</v>
      </c>
      <c r="E272" s="699">
        <v>43.4</v>
      </c>
      <c r="F272" s="701">
        <f t="shared" si="10"/>
        <v>467.15325999999999</v>
      </c>
      <c r="G272" s="699" t="s">
        <v>351</v>
      </c>
      <c r="H272" s="705">
        <v>1</v>
      </c>
      <c r="I272" s="700" t="str">
        <f>IF('Plot By Plot SoA'!Q297=0,"-",'Plot By Plot SoA'!Q297)</f>
        <v>-</v>
      </c>
      <c r="J272" s="699" t="s">
        <v>362</v>
      </c>
      <c r="K272" s="700" t="str">
        <f>IF('Plot By Plot SoA'!K297=0,"-",'Plot By Plot SoA'!K297)</f>
        <v>Balcony</v>
      </c>
      <c r="L272" s="703" t="s">
        <v>79</v>
      </c>
    </row>
    <row r="273" spans="1:12" x14ac:dyDescent="0.35">
      <c r="A273" s="899"/>
      <c r="B273" s="699">
        <v>267</v>
      </c>
      <c r="C273" s="699" t="s">
        <v>17</v>
      </c>
      <c r="D273" s="700" t="s">
        <v>380</v>
      </c>
      <c r="E273" s="699">
        <v>43.4</v>
      </c>
      <c r="F273" s="701">
        <f t="shared" si="10"/>
        <v>467.15325999999999</v>
      </c>
      <c r="G273" s="699" t="s">
        <v>351</v>
      </c>
      <c r="H273" s="705">
        <v>1</v>
      </c>
      <c r="I273" s="700" t="str">
        <f>IF('Plot By Plot SoA'!Q298=0,"-",'Plot By Plot SoA'!Q298)</f>
        <v>-</v>
      </c>
      <c r="J273" s="699" t="s">
        <v>362</v>
      </c>
      <c r="K273" s="700" t="str">
        <f>IF('Plot By Plot SoA'!K298=0,"-",'Plot By Plot SoA'!K298)</f>
        <v>Community Amenity</v>
      </c>
      <c r="L273" s="703" t="s">
        <v>79</v>
      </c>
    </row>
    <row r="274" spans="1:12" x14ac:dyDescent="0.35">
      <c r="A274" s="899"/>
      <c r="B274" s="699">
        <v>268</v>
      </c>
      <c r="C274" s="699" t="s">
        <v>17</v>
      </c>
      <c r="D274" s="700" t="s">
        <v>380</v>
      </c>
      <c r="E274" s="699">
        <v>43.4</v>
      </c>
      <c r="F274" s="701">
        <f t="shared" si="10"/>
        <v>467.15325999999999</v>
      </c>
      <c r="G274" s="699" t="s">
        <v>351</v>
      </c>
      <c r="H274" s="706">
        <v>1</v>
      </c>
      <c r="I274" s="700" t="str">
        <f>IF('Plot By Plot SoA'!Q299=0,"-",'Plot By Plot SoA'!Q299)</f>
        <v>-</v>
      </c>
      <c r="J274" s="699" t="s">
        <v>362</v>
      </c>
      <c r="K274" s="700" t="str">
        <f>IF('Plot By Plot SoA'!K299=0,"-",'Plot By Plot SoA'!K299)</f>
        <v>Balcony</v>
      </c>
      <c r="L274" s="703" t="s">
        <v>79</v>
      </c>
    </row>
    <row r="275" spans="1:12" x14ac:dyDescent="0.35">
      <c r="A275" s="899"/>
      <c r="B275" s="699">
        <v>269</v>
      </c>
      <c r="C275" s="699" t="s">
        <v>17</v>
      </c>
      <c r="D275" s="700" t="s">
        <v>380</v>
      </c>
      <c r="E275" s="699">
        <v>43.4</v>
      </c>
      <c r="F275" s="701">
        <f t="shared" si="10"/>
        <v>467.15325999999999</v>
      </c>
      <c r="G275" s="699" t="s">
        <v>351</v>
      </c>
      <c r="H275" s="705">
        <v>1</v>
      </c>
      <c r="I275" s="700" t="str">
        <f>IF('Plot By Plot SoA'!Q300=0,"-",'Plot By Plot SoA'!Q300)</f>
        <v>-</v>
      </c>
      <c r="J275" s="699" t="s">
        <v>362</v>
      </c>
      <c r="K275" s="700" t="str">
        <f>IF('Plot By Plot SoA'!K300=0,"-",'Plot By Plot SoA'!K300)</f>
        <v>Community Amenity</v>
      </c>
      <c r="L275" s="703" t="s">
        <v>79</v>
      </c>
    </row>
    <row r="276" spans="1:12" x14ac:dyDescent="0.35">
      <c r="A276" s="899"/>
      <c r="B276" s="699">
        <v>270</v>
      </c>
      <c r="C276" s="699" t="s">
        <v>17</v>
      </c>
      <c r="D276" s="700" t="s">
        <v>380</v>
      </c>
      <c r="E276" s="699">
        <v>51.2</v>
      </c>
      <c r="F276" s="701">
        <f t="shared" si="10"/>
        <v>551.11167999999998</v>
      </c>
      <c r="G276" s="699" t="s">
        <v>351</v>
      </c>
      <c r="H276" s="704">
        <v>1</v>
      </c>
      <c r="I276" s="700" t="str">
        <f>IF('Plot By Plot SoA'!Q301=0,"-",'Plot By Plot SoA'!Q301)</f>
        <v>-</v>
      </c>
      <c r="J276" s="699" t="s">
        <v>362</v>
      </c>
      <c r="K276" s="700" t="str">
        <f>IF('Plot By Plot SoA'!K301=0,"-",'Plot By Plot SoA'!K301)</f>
        <v>Balcony</v>
      </c>
      <c r="L276" s="703" t="s">
        <v>79</v>
      </c>
    </row>
    <row r="277" spans="1:12" x14ac:dyDescent="0.35">
      <c r="A277" s="899"/>
      <c r="B277" s="699">
        <v>271</v>
      </c>
      <c r="C277" s="699" t="s">
        <v>17</v>
      </c>
      <c r="D277" s="700" t="s">
        <v>380</v>
      </c>
      <c r="E277" s="699">
        <v>43.4</v>
      </c>
      <c r="F277" s="701">
        <f t="shared" si="10"/>
        <v>467.15325999999999</v>
      </c>
      <c r="G277" s="699" t="s">
        <v>351</v>
      </c>
      <c r="H277" s="704">
        <v>1</v>
      </c>
      <c r="I277" s="700" t="str">
        <f>IF('Plot By Plot SoA'!Q302=0,"-",'Plot By Plot SoA'!Q302)</f>
        <v>-</v>
      </c>
      <c r="J277" s="699" t="s">
        <v>362</v>
      </c>
      <c r="K277" s="700" t="str">
        <f>IF('Plot By Plot SoA'!K302=0,"-",'Plot By Plot SoA'!K302)</f>
        <v>Community Amenity</v>
      </c>
      <c r="L277" s="703" t="s">
        <v>79</v>
      </c>
    </row>
    <row r="278" spans="1:12" x14ac:dyDescent="0.35">
      <c r="A278" s="899"/>
      <c r="B278" s="699">
        <v>272</v>
      </c>
      <c r="C278" s="699" t="s">
        <v>17</v>
      </c>
      <c r="D278" s="700" t="s">
        <v>380</v>
      </c>
      <c r="E278" s="699">
        <v>43.4</v>
      </c>
      <c r="F278" s="701">
        <f t="shared" si="10"/>
        <v>467.15325999999999</v>
      </c>
      <c r="G278" s="699" t="s">
        <v>351</v>
      </c>
      <c r="H278" s="705">
        <v>1</v>
      </c>
      <c r="I278" s="700" t="str">
        <f>IF('Plot By Plot SoA'!Q303=0,"-",'Plot By Plot SoA'!Q303)</f>
        <v>-</v>
      </c>
      <c r="J278" s="699" t="s">
        <v>362</v>
      </c>
      <c r="K278" s="700" t="str">
        <f>IF('Plot By Plot SoA'!K303=0,"-",'Plot By Plot SoA'!K303)</f>
        <v>Community Amenity</v>
      </c>
      <c r="L278" s="703" t="s">
        <v>79</v>
      </c>
    </row>
    <row r="279" spans="1:12" x14ac:dyDescent="0.35">
      <c r="A279" s="899"/>
      <c r="B279" s="699">
        <v>273</v>
      </c>
      <c r="C279" s="699" t="s">
        <v>346</v>
      </c>
      <c r="D279" s="700" t="s">
        <v>374</v>
      </c>
      <c r="E279" s="699">
        <v>50.8</v>
      </c>
      <c r="F279" s="701">
        <f t="shared" si="10"/>
        <v>546.80611999999996</v>
      </c>
      <c r="G279" s="699" t="s">
        <v>351</v>
      </c>
      <c r="H279" s="705">
        <v>1</v>
      </c>
      <c r="I279" s="700" t="str">
        <f>IF('Plot By Plot SoA'!Q304=0,"-",'Plot By Plot SoA'!Q304)</f>
        <v>-</v>
      </c>
      <c r="J279" s="699" t="s">
        <v>362</v>
      </c>
      <c r="K279" s="700" t="str">
        <f>IF('Plot By Plot SoA'!K304=0,"-",'Plot By Plot SoA'!K304)</f>
        <v>Frontage Amenity</v>
      </c>
      <c r="L279" s="703">
        <v>74</v>
      </c>
    </row>
    <row r="280" spans="1:12" x14ac:dyDescent="0.35">
      <c r="A280" s="899"/>
      <c r="B280" s="699">
        <v>274</v>
      </c>
      <c r="C280" s="699" t="s">
        <v>346</v>
      </c>
      <c r="D280" s="700" t="s">
        <v>374</v>
      </c>
      <c r="E280" s="699">
        <v>39.200000000000003</v>
      </c>
      <c r="F280" s="701">
        <f t="shared" si="10"/>
        <v>421.94488000000001</v>
      </c>
      <c r="G280" s="699" t="s">
        <v>351</v>
      </c>
      <c r="H280" s="705">
        <v>1</v>
      </c>
      <c r="I280" s="700" t="str">
        <f>IF('Plot By Plot SoA'!Q305=0,"-",'Plot By Plot SoA'!Q305)</f>
        <v>-</v>
      </c>
      <c r="J280" s="699" t="s">
        <v>362</v>
      </c>
      <c r="K280" s="700" t="str">
        <f>IF('Plot By Plot SoA'!K305=0,"-",'Plot By Plot SoA'!K305)</f>
        <v>Community Amenity</v>
      </c>
      <c r="L280" s="703">
        <v>51</v>
      </c>
    </row>
    <row r="281" spans="1:12" x14ac:dyDescent="0.35">
      <c r="A281" s="899"/>
      <c r="B281" s="699">
        <v>275</v>
      </c>
      <c r="C281" s="699" t="s">
        <v>16</v>
      </c>
      <c r="D281" s="700" t="s">
        <v>381</v>
      </c>
      <c r="E281" s="699">
        <v>57.8</v>
      </c>
      <c r="F281" s="701">
        <f t="shared" si="10"/>
        <v>622.15341999999998</v>
      </c>
      <c r="G281" s="699" t="s">
        <v>351</v>
      </c>
      <c r="H281" s="705">
        <v>2</v>
      </c>
      <c r="I281" s="700" t="str">
        <f>IF('Plot By Plot SoA'!Q306=0,"-",'Plot By Plot SoA'!Q306)</f>
        <v>-</v>
      </c>
      <c r="J281" s="699" t="s">
        <v>362</v>
      </c>
      <c r="K281" s="700" t="str">
        <f>IF('Plot By Plot SoA'!K306=0,"-",'Plot By Plot SoA'!K306)</f>
        <v>Balcony</v>
      </c>
      <c r="L281" s="703">
        <v>30</v>
      </c>
    </row>
    <row r="282" spans="1:12" x14ac:dyDescent="0.35">
      <c r="A282" s="899"/>
      <c r="B282" s="699">
        <v>276</v>
      </c>
      <c r="C282" s="699" t="s">
        <v>16</v>
      </c>
      <c r="D282" s="700" t="s">
        <v>381</v>
      </c>
      <c r="E282" s="699">
        <v>57.8</v>
      </c>
      <c r="F282" s="701">
        <f t="shared" si="10"/>
        <v>622.15341999999998</v>
      </c>
      <c r="G282" s="699" t="s">
        <v>351</v>
      </c>
      <c r="H282" s="705">
        <v>2</v>
      </c>
      <c r="I282" s="700" t="str">
        <f>IF('Plot By Plot SoA'!Q307=0,"-",'Plot By Plot SoA'!Q307)</f>
        <v>-</v>
      </c>
      <c r="J282" s="699" t="s">
        <v>362</v>
      </c>
      <c r="K282" s="700" t="str">
        <f>IF('Plot By Plot SoA'!K307=0,"-",'Plot By Plot SoA'!K307)</f>
        <v>Balcony</v>
      </c>
      <c r="L282" s="703">
        <v>30</v>
      </c>
    </row>
    <row r="283" spans="1:12" x14ac:dyDescent="0.35">
      <c r="A283" s="899"/>
      <c r="B283" s="699">
        <v>277</v>
      </c>
      <c r="C283" s="699" t="s">
        <v>17</v>
      </c>
      <c r="D283" s="700" t="s">
        <v>375</v>
      </c>
      <c r="E283" s="699">
        <v>50.1</v>
      </c>
      <c r="F283" s="701">
        <f t="shared" si="10"/>
        <v>539.27139</v>
      </c>
      <c r="G283" s="699" t="s">
        <v>351</v>
      </c>
      <c r="H283" s="705">
        <v>1</v>
      </c>
      <c r="I283" s="700" t="str">
        <f>IF('Plot By Plot SoA'!Q308=0,"-",'Plot By Plot SoA'!Q308)</f>
        <v>-</v>
      </c>
      <c r="J283" s="699" t="s">
        <v>362</v>
      </c>
      <c r="K283" s="700" t="str">
        <f>IF('Plot By Plot SoA'!K308=0,"-",'Plot By Plot SoA'!K308)</f>
        <v>Community Amenity</v>
      </c>
      <c r="L283" s="707" t="s">
        <v>79</v>
      </c>
    </row>
    <row r="284" spans="1:12" x14ac:dyDescent="0.35">
      <c r="A284" s="899"/>
      <c r="B284" s="699">
        <v>278</v>
      </c>
      <c r="C284" s="699" t="s">
        <v>16</v>
      </c>
      <c r="D284" s="700" t="s">
        <v>377</v>
      </c>
      <c r="E284" s="699">
        <v>100.1</v>
      </c>
      <c r="F284" s="701">
        <f t="shared" si="10"/>
        <v>1077.4663899999998</v>
      </c>
      <c r="G284" s="699" t="s">
        <v>349</v>
      </c>
      <c r="H284" s="705">
        <v>2</v>
      </c>
      <c r="I284" s="700" t="str">
        <f>IF('Plot By Plot SoA'!Q309=0,"-",'Plot By Plot SoA'!Q309)</f>
        <v>-</v>
      </c>
      <c r="J284" s="699" t="s">
        <v>362</v>
      </c>
      <c r="K284" s="700" t="str">
        <f>IF('Plot By Plot SoA'!K309=0,"-",'Plot By Plot SoA'!K309)</f>
        <v>Community Amenity</v>
      </c>
      <c r="L284" s="703" t="s">
        <v>79</v>
      </c>
    </row>
    <row r="285" spans="1:12" x14ac:dyDescent="0.35">
      <c r="A285" s="899"/>
      <c r="B285" s="699">
        <v>279</v>
      </c>
      <c r="C285" s="699" t="s">
        <v>16</v>
      </c>
      <c r="D285" s="700" t="s">
        <v>392</v>
      </c>
      <c r="E285" s="699">
        <v>57.8</v>
      </c>
      <c r="F285" s="701">
        <f t="shared" si="10"/>
        <v>622.15341999999998</v>
      </c>
      <c r="G285" s="699" t="s">
        <v>347</v>
      </c>
      <c r="H285" s="705">
        <v>2</v>
      </c>
      <c r="I285" s="700" t="str">
        <f>IF('Plot By Plot SoA'!Q310=0,"-",'Plot By Plot SoA'!Q310)</f>
        <v>Y</v>
      </c>
      <c r="J285" s="699" t="s">
        <v>362</v>
      </c>
      <c r="K285" s="700" t="str">
        <f>IF('Plot By Plot SoA'!K310=0,"-",'Plot By Plot SoA'!K310)</f>
        <v>Roof Terrace</v>
      </c>
      <c r="L285" s="703">
        <v>219</v>
      </c>
    </row>
    <row r="286" spans="1:12" x14ac:dyDescent="0.35">
      <c r="A286" s="899"/>
      <c r="B286" s="699">
        <v>280</v>
      </c>
      <c r="C286" s="699" t="s">
        <v>16</v>
      </c>
      <c r="D286" s="700" t="s">
        <v>392</v>
      </c>
      <c r="E286" s="699">
        <v>57.8</v>
      </c>
      <c r="F286" s="701">
        <f t="shared" si="10"/>
        <v>622.15341999999998</v>
      </c>
      <c r="G286" s="699" t="s">
        <v>347</v>
      </c>
      <c r="H286" s="705">
        <v>2</v>
      </c>
      <c r="I286" s="700" t="str">
        <f>IF('Plot By Plot SoA'!Q311=0,"-",'Plot By Plot SoA'!Q311)</f>
        <v>Y</v>
      </c>
      <c r="J286" s="699" t="s">
        <v>362</v>
      </c>
      <c r="K286" s="700" t="str">
        <f>IF('Plot By Plot SoA'!K311=0,"-",'Plot By Plot SoA'!K311)</f>
        <v>Roof Terrace</v>
      </c>
      <c r="L286" s="703">
        <v>219</v>
      </c>
    </row>
    <row r="287" spans="1:12" x14ac:dyDescent="0.35">
      <c r="A287" s="899"/>
      <c r="B287" s="699">
        <v>281</v>
      </c>
      <c r="C287" s="699" t="s">
        <v>16</v>
      </c>
      <c r="D287" s="700" t="s">
        <v>381</v>
      </c>
      <c r="E287" s="699">
        <v>69.599999999999994</v>
      </c>
      <c r="F287" s="701">
        <f t="shared" si="10"/>
        <v>749.16743999999994</v>
      </c>
      <c r="G287" s="699" t="s">
        <v>347</v>
      </c>
      <c r="H287" s="705">
        <v>2</v>
      </c>
      <c r="I287" s="700" t="str">
        <f>IF('Plot By Plot SoA'!Q312=0,"-",'Plot By Plot SoA'!Q312)</f>
        <v>-</v>
      </c>
      <c r="J287" s="699" t="s">
        <v>362</v>
      </c>
      <c r="K287" s="700" t="str">
        <f>IF('Plot By Plot SoA'!K312=0,"-",'Plot By Plot SoA'!K312)</f>
        <v>Balcony</v>
      </c>
      <c r="L287" s="703">
        <v>89</v>
      </c>
    </row>
    <row r="288" spans="1:12" x14ac:dyDescent="0.35">
      <c r="A288" s="899"/>
      <c r="B288" s="699">
        <v>282</v>
      </c>
      <c r="C288" s="699" t="s">
        <v>16</v>
      </c>
      <c r="D288" s="700" t="s">
        <v>381</v>
      </c>
      <c r="E288" s="699">
        <v>69.599999999999994</v>
      </c>
      <c r="F288" s="701">
        <f t="shared" si="10"/>
        <v>749.16743999999994</v>
      </c>
      <c r="G288" s="699" t="s">
        <v>347</v>
      </c>
      <c r="H288" s="705">
        <v>2</v>
      </c>
      <c r="I288" s="700" t="str">
        <f>IF('Plot By Plot SoA'!Q313=0,"-",'Plot By Plot SoA'!Q313)</f>
        <v>-</v>
      </c>
      <c r="J288" s="699" t="s">
        <v>362</v>
      </c>
      <c r="K288" s="700" t="str">
        <f>IF('Plot By Plot SoA'!K313=0,"-",'Plot By Plot SoA'!K313)</f>
        <v>Balcony</v>
      </c>
      <c r="L288" s="703">
        <v>89</v>
      </c>
    </row>
    <row r="289" spans="1:12" x14ac:dyDescent="0.35">
      <c r="A289" s="899"/>
      <c r="B289" s="699">
        <v>283</v>
      </c>
      <c r="C289" s="699" t="s">
        <v>16</v>
      </c>
      <c r="D289" s="700" t="s">
        <v>381</v>
      </c>
      <c r="E289" s="699">
        <v>69.599999999999994</v>
      </c>
      <c r="F289" s="701">
        <f t="shared" si="10"/>
        <v>749.16743999999994</v>
      </c>
      <c r="G289" s="699" t="s">
        <v>347</v>
      </c>
      <c r="H289" s="705">
        <v>2</v>
      </c>
      <c r="I289" s="700" t="str">
        <f>IF('Plot By Plot SoA'!Q314=0,"-",'Plot By Plot SoA'!Q314)</f>
        <v>-</v>
      </c>
      <c r="J289" s="699" t="s">
        <v>362</v>
      </c>
      <c r="K289" s="700" t="str">
        <f>IF('Plot By Plot SoA'!K314=0,"-",'Plot By Plot SoA'!K314)</f>
        <v>Balcony</v>
      </c>
      <c r="L289" s="703">
        <v>89</v>
      </c>
    </row>
    <row r="290" spans="1:12" x14ac:dyDescent="0.35">
      <c r="A290" s="899"/>
      <c r="B290" s="699">
        <v>284</v>
      </c>
      <c r="C290" s="699" t="s">
        <v>16</v>
      </c>
      <c r="D290" s="700" t="s">
        <v>381</v>
      </c>
      <c r="E290" s="699">
        <v>69.599999999999994</v>
      </c>
      <c r="F290" s="701">
        <f t="shared" si="10"/>
        <v>749.16743999999994</v>
      </c>
      <c r="G290" s="699" t="s">
        <v>347</v>
      </c>
      <c r="H290" s="705">
        <v>2</v>
      </c>
      <c r="I290" s="700" t="str">
        <f>IF('Plot By Plot SoA'!Q315=0,"-",'Plot By Plot SoA'!Q315)</f>
        <v>-</v>
      </c>
      <c r="J290" s="699" t="s">
        <v>362</v>
      </c>
      <c r="K290" s="700" t="str">
        <f>IF('Plot By Plot SoA'!K315=0,"-",'Plot By Plot SoA'!K315)</f>
        <v>Balcony</v>
      </c>
      <c r="L290" s="703">
        <v>89</v>
      </c>
    </row>
    <row r="291" spans="1:12" x14ac:dyDescent="0.35">
      <c r="A291" s="899"/>
      <c r="B291" s="699">
        <v>285</v>
      </c>
      <c r="C291" s="699" t="s">
        <v>16</v>
      </c>
      <c r="D291" s="700" t="s">
        <v>392</v>
      </c>
      <c r="E291" s="699">
        <v>87.3</v>
      </c>
      <c r="F291" s="701">
        <f t="shared" si="10"/>
        <v>939.68846999999994</v>
      </c>
      <c r="G291" s="699" t="s">
        <v>347</v>
      </c>
      <c r="H291" s="705">
        <v>2</v>
      </c>
      <c r="I291" s="700" t="str">
        <f>IF('Plot By Plot SoA'!Q316=0,"-",'Plot By Plot SoA'!Q316)</f>
        <v>-</v>
      </c>
      <c r="J291" s="699" t="s">
        <v>362</v>
      </c>
      <c r="K291" s="700" t="str">
        <f>IF('Plot By Plot SoA'!K316=0,"-",'Plot By Plot SoA'!K316)</f>
        <v>Balcony</v>
      </c>
      <c r="L291" s="703" t="s">
        <v>79</v>
      </c>
    </row>
    <row r="292" spans="1:12" x14ac:dyDescent="0.35">
      <c r="A292" s="899"/>
      <c r="B292" s="699">
        <v>286</v>
      </c>
      <c r="C292" s="699" t="s">
        <v>16</v>
      </c>
      <c r="D292" s="700" t="s">
        <v>392</v>
      </c>
      <c r="E292" s="699">
        <v>87.3</v>
      </c>
      <c r="F292" s="701">
        <f t="shared" si="10"/>
        <v>939.68846999999994</v>
      </c>
      <c r="G292" s="699" t="s">
        <v>347</v>
      </c>
      <c r="H292" s="705">
        <v>2</v>
      </c>
      <c r="I292" s="700" t="str">
        <f>IF('Plot By Plot SoA'!Q317=0,"-",'Plot By Plot SoA'!Q317)</f>
        <v>-</v>
      </c>
      <c r="J292" s="699" t="s">
        <v>362</v>
      </c>
      <c r="K292" s="700" t="str">
        <f>IF('Plot By Plot SoA'!K317=0,"-",'Plot By Plot SoA'!K317)</f>
        <v>Balcony</v>
      </c>
      <c r="L292" s="703" t="s">
        <v>79</v>
      </c>
    </row>
    <row r="293" spans="1:12" x14ac:dyDescent="0.35">
      <c r="A293" s="899"/>
      <c r="B293" s="699">
        <v>287</v>
      </c>
      <c r="C293" s="699" t="s">
        <v>16</v>
      </c>
      <c r="D293" s="700" t="s">
        <v>392</v>
      </c>
      <c r="E293" s="699">
        <v>69.599999999999994</v>
      </c>
      <c r="F293" s="701">
        <f t="shared" si="10"/>
        <v>749.16743999999994</v>
      </c>
      <c r="G293" s="699" t="s">
        <v>347</v>
      </c>
      <c r="H293" s="705">
        <v>2</v>
      </c>
      <c r="I293" s="700" t="str">
        <f>IF('Plot By Plot SoA'!Q318=0,"-",'Plot By Plot SoA'!Q318)</f>
        <v>-</v>
      </c>
      <c r="J293" s="699" t="s">
        <v>362</v>
      </c>
      <c r="K293" s="700" t="str">
        <f>IF('Plot By Plot SoA'!K318=0,"-",'Plot By Plot SoA'!K318)</f>
        <v>Balcony</v>
      </c>
      <c r="L293" s="703">
        <v>89</v>
      </c>
    </row>
    <row r="294" spans="1:12" x14ac:dyDescent="0.35">
      <c r="A294" s="899"/>
      <c r="B294" s="699">
        <v>288</v>
      </c>
      <c r="C294" s="699" t="s">
        <v>16</v>
      </c>
      <c r="D294" s="700" t="s">
        <v>392</v>
      </c>
      <c r="E294" s="699">
        <v>69.599999999999994</v>
      </c>
      <c r="F294" s="701">
        <f t="shared" si="10"/>
        <v>749.16743999999994</v>
      </c>
      <c r="G294" s="699" t="s">
        <v>347</v>
      </c>
      <c r="H294" s="705">
        <v>2</v>
      </c>
      <c r="I294" s="700" t="str">
        <f>IF('Plot By Plot SoA'!Q319=0,"-",'Plot By Plot SoA'!Q319)</f>
        <v>-</v>
      </c>
      <c r="J294" s="699" t="s">
        <v>362</v>
      </c>
      <c r="K294" s="700" t="str">
        <f>IF('Plot By Plot SoA'!K319=0,"-",'Plot By Plot SoA'!K319)</f>
        <v>Balcony</v>
      </c>
      <c r="L294" s="703">
        <v>89</v>
      </c>
    </row>
    <row r="295" spans="1:12" x14ac:dyDescent="0.35">
      <c r="A295" s="899"/>
      <c r="B295" s="699">
        <v>289</v>
      </c>
      <c r="C295" s="699" t="s">
        <v>17</v>
      </c>
      <c r="D295" s="700" t="s">
        <v>375</v>
      </c>
      <c r="E295" s="699">
        <v>59.4</v>
      </c>
      <c r="F295" s="701">
        <f t="shared" si="10"/>
        <v>639.37565999999993</v>
      </c>
      <c r="G295" s="699" t="s">
        <v>351</v>
      </c>
      <c r="H295" s="705">
        <v>1</v>
      </c>
      <c r="I295" s="700" t="str">
        <f>IF('Plot By Plot SoA'!Q320=0,"-",'Plot By Plot SoA'!Q320)</f>
        <v>-</v>
      </c>
      <c r="J295" s="699" t="s">
        <v>362</v>
      </c>
      <c r="K295" s="700" t="str">
        <f>IF('Plot By Plot SoA'!K320=0,"-",'Plot By Plot SoA'!K320)</f>
        <v>Community Amenity</v>
      </c>
      <c r="L295" s="703" t="s">
        <v>79</v>
      </c>
    </row>
    <row r="296" spans="1:12" x14ac:dyDescent="0.35">
      <c r="A296" s="899"/>
      <c r="B296" s="699">
        <v>290</v>
      </c>
      <c r="C296" s="699" t="s">
        <v>16</v>
      </c>
      <c r="D296" s="700" t="s">
        <v>381</v>
      </c>
      <c r="E296" s="699">
        <v>66.5</v>
      </c>
      <c r="F296" s="701">
        <f t="shared" si="10"/>
        <v>715.79935</v>
      </c>
      <c r="G296" s="699" t="s">
        <v>347</v>
      </c>
      <c r="H296" s="705">
        <v>2</v>
      </c>
      <c r="I296" s="700" t="str">
        <f>IF('Plot By Plot SoA'!Q321=0,"-",'Plot By Plot SoA'!Q321)</f>
        <v>-</v>
      </c>
      <c r="J296" s="699" t="s">
        <v>362</v>
      </c>
      <c r="K296" s="700" t="str">
        <f>IF('Plot By Plot SoA'!K321=0,"-",'Plot By Plot SoA'!K321)</f>
        <v>Balcony</v>
      </c>
      <c r="L296" s="703">
        <v>108</v>
      </c>
    </row>
    <row r="297" spans="1:12" x14ac:dyDescent="0.35">
      <c r="A297" s="899"/>
      <c r="B297" s="699">
        <v>291</v>
      </c>
      <c r="C297" s="699" t="s">
        <v>16</v>
      </c>
      <c r="D297" s="700" t="s">
        <v>381</v>
      </c>
      <c r="E297" s="699">
        <v>69.599999999999994</v>
      </c>
      <c r="F297" s="701">
        <f t="shared" si="10"/>
        <v>749.16743999999994</v>
      </c>
      <c r="G297" s="699" t="s">
        <v>347</v>
      </c>
      <c r="H297" s="705">
        <v>2</v>
      </c>
      <c r="I297" s="700" t="str">
        <f>IF('Plot By Plot SoA'!Q322=0,"-",'Plot By Plot SoA'!Q322)</f>
        <v>-</v>
      </c>
      <c r="J297" s="699" t="s">
        <v>362</v>
      </c>
      <c r="K297" s="700" t="str">
        <f>IF('Plot By Plot SoA'!K322=0,"-",'Plot By Plot SoA'!K322)</f>
        <v>Balcony</v>
      </c>
      <c r="L297" s="703">
        <v>108</v>
      </c>
    </row>
    <row r="298" spans="1:12" x14ac:dyDescent="0.35">
      <c r="A298" s="899"/>
      <c r="B298" s="699">
        <v>292</v>
      </c>
      <c r="C298" s="699" t="s">
        <v>17</v>
      </c>
      <c r="D298" s="700" t="s">
        <v>376</v>
      </c>
      <c r="E298" s="699">
        <v>59.4</v>
      </c>
      <c r="F298" s="701">
        <f t="shared" si="10"/>
        <v>639.37565999999993</v>
      </c>
      <c r="G298" s="699" t="s">
        <v>351</v>
      </c>
      <c r="H298" s="705">
        <v>1</v>
      </c>
      <c r="I298" s="700" t="str">
        <f>IF('Plot By Plot SoA'!Q323=0,"-",'Plot By Plot SoA'!Q323)</f>
        <v>-</v>
      </c>
      <c r="J298" s="699" t="s">
        <v>362</v>
      </c>
      <c r="K298" s="700" t="str">
        <f>IF('Plot By Plot SoA'!K323=0,"-",'Plot By Plot SoA'!K323)</f>
        <v>Community Amenity</v>
      </c>
      <c r="L298" s="703" t="s">
        <v>79</v>
      </c>
    </row>
    <row r="299" spans="1:12" x14ac:dyDescent="0.35">
      <c r="A299" s="899"/>
      <c r="B299" s="699">
        <v>293</v>
      </c>
      <c r="C299" s="699" t="s">
        <v>17</v>
      </c>
      <c r="D299" s="700" t="s">
        <v>378</v>
      </c>
      <c r="E299" s="699">
        <v>59.4</v>
      </c>
      <c r="F299" s="701">
        <f t="shared" si="10"/>
        <v>639.37565999999993</v>
      </c>
      <c r="G299" s="699" t="s">
        <v>351</v>
      </c>
      <c r="H299" s="705">
        <v>1</v>
      </c>
      <c r="I299" s="700" t="str">
        <f>IF('Plot By Plot SoA'!Q324=0,"-",'Plot By Plot SoA'!Q324)</f>
        <v>-</v>
      </c>
      <c r="J299" s="699" t="s">
        <v>362</v>
      </c>
      <c r="K299" s="700" t="str">
        <f>IF('Plot By Plot SoA'!K324=0,"-",'Plot By Plot SoA'!K324)</f>
        <v>Community Amenity</v>
      </c>
      <c r="L299" s="703" t="s">
        <v>79</v>
      </c>
    </row>
    <row r="300" spans="1:12" x14ac:dyDescent="0.35">
      <c r="A300" s="899"/>
      <c r="B300" s="699">
        <v>294</v>
      </c>
      <c r="C300" s="699" t="s">
        <v>16</v>
      </c>
      <c r="D300" s="700" t="s">
        <v>378</v>
      </c>
      <c r="E300" s="699">
        <v>66.5</v>
      </c>
      <c r="F300" s="701">
        <f t="shared" si="10"/>
        <v>715.79935</v>
      </c>
      <c r="G300" s="699" t="s">
        <v>347</v>
      </c>
      <c r="H300" s="705">
        <v>2</v>
      </c>
      <c r="I300" s="700" t="str">
        <f>IF('Plot By Plot SoA'!Q325=0,"-",'Plot By Plot SoA'!Q325)</f>
        <v>-</v>
      </c>
      <c r="J300" s="699" t="s">
        <v>362</v>
      </c>
      <c r="K300" s="700" t="str">
        <f>IF('Plot By Plot SoA'!K325=0,"-",'Plot By Plot SoA'!K325)</f>
        <v>Balcony</v>
      </c>
      <c r="L300" s="703">
        <v>89</v>
      </c>
    </row>
    <row r="301" spans="1:12" x14ac:dyDescent="0.35">
      <c r="A301" s="899"/>
      <c r="B301" s="699">
        <v>295</v>
      </c>
      <c r="C301" s="699" t="s">
        <v>16</v>
      </c>
      <c r="D301" s="700" t="s">
        <v>378</v>
      </c>
      <c r="E301" s="699">
        <v>69.599999999999994</v>
      </c>
      <c r="F301" s="701">
        <f t="shared" si="10"/>
        <v>749.16743999999994</v>
      </c>
      <c r="G301" s="699" t="s">
        <v>347</v>
      </c>
      <c r="H301" s="706">
        <v>2</v>
      </c>
      <c r="I301" s="700" t="str">
        <f>IF('Plot By Plot SoA'!Q326=0,"-",'Plot By Plot SoA'!Q326)</f>
        <v>-</v>
      </c>
      <c r="J301" s="699" t="s">
        <v>362</v>
      </c>
      <c r="K301" s="700" t="str">
        <f>IF('Plot By Plot SoA'!K326=0,"-",'Plot By Plot SoA'!K326)</f>
        <v>Balcony</v>
      </c>
      <c r="L301" s="703">
        <v>89</v>
      </c>
    </row>
    <row r="302" spans="1:12" x14ac:dyDescent="0.35">
      <c r="A302" s="899"/>
      <c r="B302" s="699">
        <v>296</v>
      </c>
      <c r="C302" s="699" t="s">
        <v>17</v>
      </c>
      <c r="D302" s="700" t="s">
        <v>379</v>
      </c>
      <c r="E302" s="699">
        <v>59.4</v>
      </c>
      <c r="F302" s="701">
        <f t="shared" si="10"/>
        <v>639.37565999999993</v>
      </c>
      <c r="G302" s="699" t="s">
        <v>351</v>
      </c>
      <c r="H302" s="705">
        <v>1</v>
      </c>
      <c r="I302" s="700" t="str">
        <f>IF('Plot By Plot SoA'!Q327=0,"-",'Plot By Plot SoA'!Q327)</f>
        <v>-</v>
      </c>
      <c r="J302" s="699" t="s">
        <v>362</v>
      </c>
      <c r="K302" s="700" t="str">
        <f>IF('Plot By Plot SoA'!K327=0,"-",'Plot By Plot SoA'!K327)</f>
        <v>Community Amenity</v>
      </c>
      <c r="L302" s="703" t="s">
        <v>79</v>
      </c>
    </row>
    <row r="303" spans="1:12" x14ac:dyDescent="0.35">
      <c r="A303" s="900"/>
      <c r="B303" s="699">
        <v>297</v>
      </c>
      <c r="C303" s="699" t="s">
        <v>346</v>
      </c>
      <c r="D303" s="700" t="s">
        <v>391</v>
      </c>
      <c r="E303" s="699">
        <v>59.4</v>
      </c>
      <c r="F303" s="701">
        <f t="shared" si="10"/>
        <v>639.37565999999993</v>
      </c>
      <c r="G303" s="699" t="s">
        <v>351</v>
      </c>
      <c r="H303" s="704">
        <v>1</v>
      </c>
      <c r="I303" s="700" t="str">
        <f>IF('Plot By Plot SoA'!Q328=0,"-",'Plot By Plot SoA'!Q328)</f>
        <v>-</v>
      </c>
      <c r="J303" s="699" t="s">
        <v>362</v>
      </c>
      <c r="K303" s="700" t="str">
        <f>IF('Plot By Plot SoA'!K328=0,"-",'Plot By Plot SoA'!K328)</f>
        <v>Community Amenity</v>
      </c>
      <c r="L303" s="703" t="s">
        <v>79</v>
      </c>
    </row>
    <row r="304" spans="1:12" x14ac:dyDescent="0.35">
      <c r="A304" s="901" t="s">
        <v>344</v>
      </c>
      <c r="B304" s="639">
        <v>298</v>
      </c>
      <c r="C304" s="639" t="s">
        <v>346</v>
      </c>
      <c r="D304" s="645" t="s">
        <v>374</v>
      </c>
      <c r="E304" s="641">
        <v>40.1</v>
      </c>
      <c r="F304" s="642">
        <f t="shared" si="10"/>
        <v>431.63238999999999</v>
      </c>
      <c r="G304" s="639" t="s">
        <v>351</v>
      </c>
      <c r="H304" s="646">
        <v>1</v>
      </c>
      <c r="I304" s="645" t="str">
        <f>IF('Plot By Plot SoA'!Q329=0,"-",'Plot By Plot SoA'!Q329)</f>
        <v>-</v>
      </c>
      <c r="J304" s="639" t="s">
        <v>362</v>
      </c>
      <c r="K304" s="645" t="str">
        <f>IF('Plot By Plot SoA'!K329=0,"-",'Plot By Plot SoA'!K329)</f>
        <v>Private Front Garden</v>
      </c>
      <c r="L304" s="666">
        <v>119</v>
      </c>
    </row>
    <row r="305" spans="1:12" x14ac:dyDescent="0.35">
      <c r="A305" s="902"/>
      <c r="B305" s="639">
        <v>299</v>
      </c>
      <c r="C305" s="639" t="s">
        <v>15</v>
      </c>
      <c r="D305" s="645" t="s">
        <v>365</v>
      </c>
      <c r="E305" s="643">
        <v>103.4</v>
      </c>
      <c r="F305" s="644">
        <f t="shared" si="10"/>
        <v>1112.9872600000001</v>
      </c>
      <c r="G305" s="639" t="s">
        <v>352</v>
      </c>
      <c r="H305" s="647">
        <v>3</v>
      </c>
      <c r="I305" s="645" t="str">
        <f>IF('Plot By Plot SoA'!Q330=0,"-",'Plot By Plot SoA'!Q330)</f>
        <v>-</v>
      </c>
      <c r="J305" s="639" t="s">
        <v>361</v>
      </c>
      <c r="K305" s="645" t="str">
        <f>IF('Plot By Plot SoA'!K330=0,"-",'Plot By Plot SoA'!K330)</f>
        <v>Roof Terrace</v>
      </c>
      <c r="L305" s="667">
        <v>468</v>
      </c>
    </row>
    <row r="306" spans="1:12" x14ac:dyDescent="0.35">
      <c r="A306" s="902"/>
      <c r="B306" s="639">
        <v>300</v>
      </c>
      <c r="C306" s="639" t="s">
        <v>15</v>
      </c>
      <c r="D306" s="645" t="s">
        <v>366</v>
      </c>
      <c r="E306" s="643">
        <v>103.4</v>
      </c>
      <c r="F306" s="644">
        <f t="shared" si="10"/>
        <v>1112.9872600000001</v>
      </c>
      <c r="G306" s="639" t="s">
        <v>352</v>
      </c>
      <c r="H306" s="647">
        <v>3</v>
      </c>
      <c r="I306" s="645" t="str">
        <f>IF('Plot By Plot SoA'!Q332=0,"-",'Plot By Plot SoA'!Q332)</f>
        <v>-</v>
      </c>
      <c r="J306" s="639" t="s">
        <v>361</v>
      </c>
      <c r="K306" s="645" t="str">
        <f>IF('Plot By Plot SoA'!K332=0,"-",'Plot By Plot SoA'!K332)</f>
        <v>Roof Terrace</v>
      </c>
      <c r="L306" s="666">
        <v>468</v>
      </c>
    </row>
    <row r="307" spans="1:12" x14ac:dyDescent="0.35">
      <c r="A307" s="902"/>
      <c r="B307" s="639">
        <v>301</v>
      </c>
      <c r="C307" s="639" t="s">
        <v>15</v>
      </c>
      <c r="D307" s="645" t="s">
        <v>365</v>
      </c>
      <c r="E307" s="643">
        <v>103.4</v>
      </c>
      <c r="F307" s="644">
        <f t="shared" si="10"/>
        <v>1112.9872600000001</v>
      </c>
      <c r="G307" s="639" t="s">
        <v>352</v>
      </c>
      <c r="H307" s="647">
        <v>3</v>
      </c>
      <c r="I307" s="645" t="str">
        <f>IF('Plot By Plot SoA'!Q334=0,"-",'Plot By Plot SoA'!Q334)</f>
        <v>-</v>
      </c>
      <c r="J307" s="639" t="s">
        <v>361</v>
      </c>
      <c r="K307" s="645" t="str">
        <f>IF('Plot By Plot SoA'!K334=0,"-",'Plot By Plot SoA'!K334)</f>
        <v>Roof Terrace</v>
      </c>
      <c r="L307" s="666">
        <v>468</v>
      </c>
    </row>
    <row r="308" spans="1:12" x14ac:dyDescent="0.35">
      <c r="A308" s="902"/>
      <c r="B308" s="639">
        <v>302</v>
      </c>
      <c r="C308" s="639" t="s">
        <v>17</v>
      </c>
      <c r="D308" s="645" t="s">
        <v>375</v>
      </c>
      <c r="E308" s="641">
        <v>84.7</v>
      </c>
      <c r="F308" s="642">
        <f t="shared" si="10"/>
        <v>911.70232999999996</v>
      </c>
      <c r="G308" s="639" t="s">
        <v>352</v>
      </c>
      <c r="H308" s="646">
        <v>1</v>
      </c>
      <c r="I308" s="645" t="str">
        <f>IF('Plot By Plot SoA'!Q336=0,"-",'Plot By Plot SoA'!Q336)</f>
        <v>-</v>
      </c>
      <c r="J308" s="639" t="s">
        <v>362</v>
      </c>
      <c r="K308" s="645" t="str">
        <f>IF('Plot By Plot SoA'!K336=0,"-",'Plot By Plot SoA'!K336)</f>
        <v>Balcony</v>
      </c>
      <c r="L308" s="666">
        <v>138</v>
      </c>
    </row>
    <row r="309" spans="1:12" x14ac:dyDescent="0.35">
      <c r="A309" s="902"/>
      <c r="B309" s="639">
        <v>303</v>
      </c>
      <c r="C309" s="639" t="s">
        <v>17</v>
      </c>
      <c r="D309" s="645" t="s">
        <v>376</v>
      </c>
      <c r="E309" s="641">
        <v>84.7</v>
      </c>
      <c r="F309" s="642">
        <f t="shared" si="10"/>
        <v>911.70232999999996</v>
      </c>
      <c r="G309" s="639" t="s">
        <v>352</v>
      </c>
      <c r="H309" s="646">
        <v>1</v>
      </c>
      <c r="I309" s="645" t="str">
        <f>IF('Plot By Plot SoA'!Q337=0,"-",'Plot By Plot SoA'!Q337)</f>
        <v>-</v>
      </c>
      <c r="J309" s="639" t="s">
        <v>362</v>
      </c>
      <c r="K309" s="645" t="str">
        <f>IF('Plot By Plot SoA'!K337=0,"-",'Plot By Plot SoA'!K337)</f>
        <v>Shared Roof Terrace</v>
      </c>
      <c r="L309" s="666" t="s">
        <v>79</v>
      </c>
    </row>
    <row r="310" spans="1:12" x14ac:dyDescent="0.35">
      <c r="A310" s="902"/>
      <c r="B310" s="639">
        <v>304</v>
      </c>
      <c r="C310" s="639" t="s">
        <v>17</v>
      </c>
      <c r="D310" s="645" t="s">
        <v>376</v>
      </c>
      <c r="E310" s="641">
        <v>54.1</v>
      </c>
      <c r="F310" s="642">
        <f t="shared" si="10"/>
        <v>582.32699000000002</v>
      </c>
      <c r="G310" s="639" t="s">
        <v>351</v>
      </c>
      <c r="H310" s="646">
        <v>1</v>
      </c>
      <c r="I310" s="645" t="str">
        <f>IF('Plot By Plot SoA'!Q338=0,"-",'Plot By Plot SoA'!Q338)</f>
        <v>-</v>
      </c>
      <c r="J310" s="639" t="s">
        <v>362</v>
      </c>
      <c r="K310" s="645" t="str">
        <f>IF('Plot By Plot SoA'!K338=0,"-",'Plot By Plot SoA'!K338)</f>
        <v>Balcony</v>
      </c>
      <c r="L310" s="666">
        <v>86</v>
      </c>
    </row>
    <row r="311" spans="1:12" x14ac:dyDescent="0.35">
      <c r="A311" s="902"/>
      <c r="B311" s="639">
        <v>305</v>
      </c>
      <c r="C311" s="639" t="s">
        <v>17</v>
      </c>
      <c r="D311" s="645" t="s">
        <v>378</v>
      </c>
      <c r="E311" s="641">
        <v>54.1</v>
      </c>
      <c r="F311" s="642">
        <f t="shared" si="10"/>
        <v>582.32699000000002</v>
      </c>
      <c r="G311" s="639" t="s">
        <v>351</v>
      </c>
      <c r="H311" s="646">
        <v>1</v>
      </c>
      <c r="I311" s="645" t="str">
        <f>IF('Plot By Plot SoA'!Q339=0,"-",'Plot By Plot SoA'!Q339)</f>
        <v>-</v>
      </c>
      <c r="J311" s="639" t="s">
        <v>362</v>
      </c>
      <c r="K311" s="645" t="str">
        <f>IF('Plot By Plot SoA'!K339=0,"-",'Plot By Plot SoA'!K339)</f>
        <v>Roof Terrace</v>
      </c>
      <c r="L311" s="666">
        <v>143</v>
      </c>
    </row>
    <row r="312" spans="1:12" x14ac:dyDescent="0.35">
      <c r="A312" s="902"/>
      <c r="B312" s="639">
        <v>306</v>
      </c>
      <c r="C312" s="639" t="s">
        <v>16</v>
      </c>
      <c r="D312" s="645" t="s">
        <v>393</v>
      </c>
      <c r="E312" s="641">
        <v>65.5</v>
      </c>
      <c r="F312" s="642">
        <f>SUM(E312*10.7639)</f>
        <v>705.03544999999997</v>
      </c>
      <c r="G312" s="639" t="s">
        <v>351</v>
      </c>
      <c r="H312" s="646">
        <v>1</v>
      </c>
      <c r="I312" s="645" t="str">
        <f>IF('Plot By Plot SoA'!Q340=0,"-",'Plot By Plot SoA'!Q340)</f>
        <v>-</v>
      </c>
      <c r="J312" s="639" t="s">
        <v>362</v>
      </c>
      <c r="K312" s="645" t="str">
        <f>IF('Plot By Plot SoA'!K340=0,"-",'Plot By Plot SoA'!K340)</f>
        <v>Shared Roof Terrace</v>
      </c>
      <c r="L312" s="666" t="s">
        <v>79</v>
      </c>
    </row>
    <row r="313" spans="1:12" x14ac:dyDescent="0.35">
      <c r="A313" s="902"/>
      <c r="B313" s="639">
        <v>307</v>
      </c>
      <c r="C313" s="639" t="s">
        <v>51</v>
      </c>
      <c r="D313" s="645" t="s">
        <v>393</v>
      </c>
      <c r="E313" s="641">
        <v>89.5</v>
      </c>
      <c r="F313" s="642">
        <f t="shared" ref="F313:F322" si="11">SUM(E313*10.7639)</f>
        <v>963.36905000000002</v>
      </c>
      <c r="G313" s="639" t="s">
        <v>356</v>
      </c>
      <c r="H313" s="648">
        <v>2</v>
      </c>
      <c r="I313" s="645" t="str">
        <f>IF('Plot By Plot SoA'!Q341=0,"-",'Plot By Plot SoA'!Q341)</f>
        <v>-</v>
      </c>
      <c r="J313" s="639" t="s">
        <v>362</v>
      </c>
      <c r="K313" s="645" t="str">
        <f>IF('Plot By Plot SoA'!K341=0,"-",'Plot By Plot SoA'!K341)</f>
        <v>Private Front Garden</v>
      </c>
      <c r="L313" s="665">
        <v>196</v>
      </c>
    </row>
    <row r="314" spans="1:12" x14ac:dyDescent="0.35">
      <c r="A314" s="902"/>
      <c r="B314" s="639">
        <v>308</v>
      </c>
      <c r="C314" s="639" t="s">
        <v>15</v>
      </c>
      <c r="D314" s="645" t="s">
        <v>365</v>
      </c>
      <c r="E314" s="643">
        <v>103.4</v>
      </c>
      <c r="F314" s="644">
        <f t="shared" si="11"/>
        <v>1112.9872600000001</v>
      </c>
      <c r="G314" s="639" t="s">
        <v>352</v>
      </c>
      <c r="H314" s="647">
        <v>3</v>
      </c>
      <c r="I314" s="645" t="str">
        <f>IF('Plot By Plot SoA'!Q342=0,"-",'Plot By Plot SoA'!Q342)</f>
        <v>-</v>
      </c>
      <c r="J314" s="639" t="s">
        <v>361</v>
      </c>
      <c r="K314" s="645" t="str">
        <f>IF('Plot By Plot SoA'!K342=0,"-",'Plot By Plot SoA'!K342)</f>
        <v>Roof Terrace</v>
      </c>
      <c r="L314" s="665">
        <v>324</v>
      </c>
    </row>
    <row r="315" spans="1:12" x14ac:dyDescent="0.35">
      <c r="A315" s="902"/>
      <c r="B315" s="639">
        <v>309</v>
      </c>
      <c r="C315" s="639" t="s">
        <v>15</v>
      </c>
      <c r="D315" s="645" t="s">
        <v>366</v>
      </c>
      <c r="E315" s="643">
        <v>103.4</v>
      </c>
      <c r="F315" s="644">
        <f t="shared" si="11"/>
        <v>1112.9872600000001</v>
      </c>
      <c r="G315" s="639" t="s">
        <v>352</v>
      </c>
      <c r="H315" s="647">
        <v>3</v>
      </c>
      <c r="I315" s="645" t="str">
        <f>IF('Plot By Plot SoA'!Q344=0,"-",'Plot By Plot SoA'!Q344)</f>
        <v>-</v>
      </c>
      <c r="J315" s="639" t="s">
        <v>361</v>
      </c>
      <c r="K315" s="645" t="str">
        <f>IF('Plot By Plot SoA'!K344=0,"-",'Plot By Plot SoA'!K344)</f>
        <v>Roof Terrace</v>
      </c>
      <c r="L315" s="665">
        <v>324</v>
      </c>
    </row>
    <row r="316" spans="1:12" x14ac:dyDescent="0.35">
      <c r="A316" s="902"/>
      <c r="B316" s="639">
        <v>310</v>
      </c>
      <c r="C316" s="639" t="s">
        <v>15</v>
      </c>
      <c r="D316" s="645" t="s">
        <v>365</v>
      </c>
      <c r="E316" s="643">
        <v>103.4</v>
      </c>
      <c r="F316" s="644">
        <f t="shared" si="11"/>
        <v>1112.9872600000001</v>
      </c>
      <c r="G316" s="639" t="s">
        <v>352</v>
      </c>
      <c r="H316" s="647">
        <v>3</v>
      </c>
      <c r="I316" s="645" t="str">
        <f>IF('Plot By Plot SoA'!Q346=0,"-",'Plot By Plot SoA'!Q346)</f>
        <v>-</v>
      </c>
      <c r="J316" s="639" t="s">
        <v>361</v>
      </c>
      <c r="K316" s="645" t="str">
        <f>IF('Plot By Plot SoA'!K346=0,"-",'Plot By Plot SoA'!K346)</f>
        <v>Roof Terrace</v>
      </c>
      <c r="L316" s="665">
        <v>324</v>
      </c>
    </row>
    <row r="317" spans="1:12" x14ac:dyDescent="0.35">
      <c r="A317" s="902"/>
      <c r="B317" s="639">
        <v>311</v>
      </c>
      <c r="C317" s="639" t="s">
        <v>346</v>
      </c>
      <c r="D317" s="645" t="s">
        <v>374</v>
      </c>
      <c r="E317" s="641">
        <v>40.1</v>
      </c>
      <c r="F317" s="642">
        <f t="shared" si="11"/>
        <v>431.63238999999999</v>
      </c>
      <c r="G317" s="639" t="s">
        <v>351</v>
      </c>
      <c r="H317" s="646">
        <v>1</v>
      </c>
      <c r="I317" s="645" t="str">
        <f>IF('Plot By Plot SoA'!Q348=0,"-",'Plot By Plot SoA'!Q348)</f>
        <v>-</v>
      </c>
      <c r="J317" s="639" t="s">
        <v>362</v>
      </c>
      <c r="K317" s="645" t="str">
        <f>IF('Plot By Plot SoA'!K348=0,"-",'Plot By Plot SoA'!K348)</f>
        <v>Frontage Amenity</v>
      </c>
      <c r="L317" s="665">
        <v>173</v>
      </c>
    </row>
    <row r="318" spans="1:12" x14ac:dyDescent="0.35">
      <c r="A318" s="902"/>
      <c r="B318" s="639">
        <v>312</v>
      </c>
      <c r="C318" s="639" t="s">
        <v>346</v>
      </c>
      <c r="D318" s="645" t="s">
        <v>394</v>
      </c>
      <c r="E318" s="641">
        <v>42</v>
      </c>
      <c r="F318" s="642">
        <f t="shared" si="11"/>
        <v>452.0838</v>
      </c>
      <c r="G318" s="639" t="s">
        <v>351</v>
      </c>
      <c r="H318" s="646">
        <v>1</v>
      </c>
      <c r="I318" s="645" t="str">
        <f>IF('Plot By Plot SoA'!Q349=0,"-",'Plot By Plot SoA'!Q349)</f>
        <v>-</v>
      </c>
      <c r="J318" s="639" t="s">
        <v>362</v>
      </c>
      <c r="K318" s="645" t="str">
        <f>IF('Plot By Plot SoA'!K349=0,"-",'Plot By Plot SoA'!K349)</f>
        <v>Community Amenity</v>
      </c>
      <c r="L318" s="665" t="s">
        <v>79</v>
      </c>
    </row>
    <row r="319" spans="1:12" x14ac:dyDescent="0.35">
      <c r="A319" s="902"/>
      <c r="B319" s="639">
        <v>313</v>
      </c>
      <c r="C319" s="639" t="s">
        <v>346</v>
      </c>
      <c r="D319" s="645" t="s">
        <v>394</v>
      </c>
      <c r="E319" s="641">
        <v>42</v>
      </c>
      <c r="F319" s="642">
        <f t="shared" si="11"/>
        <v>452.0838</v>
      </c>
      <c r="G319" s="639" t="s">
        <v>351</v>
      </c>
      <c r="H319" s="646">
        <v>1</v>
      </c>
      <c r="I319" s="645" t="str">
        <f>IF('Plot By Plot SoA'!Q350=0,"-",'Plot By Plot SoA'!Q350)</f>
        <v>-</v>
      </c>
      <c r="J319" s="639" t="s">
        <v>362</v>
      </c>
      <c r="K319" s="645" t="str">
        <f>IF('Plot By Plot SoA'!K350=0,"-",'Plot By Plot SoA'!K350)</f>
        <v>Community Amenity</v>
      </c>
      <c r="L319" s="665" t="s">
        <v>79</v>
      </c>
    </row>
    <row r="320" spans="1:12" x14ac:dyDescent="0.35">
      <c r="A320" s="902"/>
      <c r="B320" s="639">
        <v>314</v>
      </c>
      <c r="C320" s="639" t="s">
        <v>51</v>
      </c>
      <c r="D320" s="645" t="s">
        <v>373</v>
      </c>
      <c r="E320" s="641">
        <v>80.099999999999994</v>
      </c>
      <c r="F320" s="642">
        <f t="shared" si="11"/>
        <v>862.18838999999991</v>
      </c>
      <c r="G320" s="639" t="s">
        <v>347</v>
      </c>
      <c r="H320" s="648">
        <v>2</v>
      </c>
      <c r="I320" s="645" t="str">
        <f>IF('Plot By Plot SoA'!Q351=0,"-",'Plot By Plot SoA'!Q351)</f>
        <v>-</v>
      </c>
      <c r="J320" s="639" t="s">
        <v>362</v>
      </c>
      <c r="K320" s="645" t="str">
        <f>IF('Plot By Plot SoA'!K351=0,"-",'Plot By Plot SoA'!K351)</f>
        <v>Balcony</v>
      </c>
      <c r="L320" s="665">
        <v>33</v>
      </c>
    </row>
    <row r="321" spans="1:12" x14ac:dyDescent="0.35">
      <c r="A321" s="902"/>
      <c r="B321" s="639">
        <v>315</v>
      </c>
      <c r="C321" s="639" t="s">
        <v>51</v>
      </c>
      <c r="D321" s="645" t="s">
        <v>373</v>
      </c>
      <c r="E321" s="641">
        <v>80.099999999999994</v>
      </c>
      <c r="F321" s="642">
        <f t="shared" si="11"/>
        <v>862.18838999999991</v>
      </c>
      <c r="G321" s="639" t="s">
        <v>347</v>
      </c>
      <c r="H321" s="648">
        <v>2</v>
      </c>
      <c r="I321" s="645" t="str">
        <f>IF('Plot By Plot SoA'!Q352=0,"-",'Plot By Plot SoA'!Q352)</f>
        <v>-</v>
      </c>
      <c r="J321" s="639" t="s">
        <v>362</v>
      </c>
      <c r="K321" s="645" t="str">
        <f>IF('Plot By Plot SoA'!K352=0,"-",'Plot By Plot SoA'!K352)</f>
        <v>Balcony</v>
      </c>
      <c r="L321" s="665">
        <v>33</v>
      </c>
    </row>
    <row r="322" spans="1:12" ht="15.75" thickBot="1" x14ac:dyDescent="0.4">
      <c r="A322" s="902"/>
      <c r="B322" s="658">
        <v>316</v>
      </c>
      <c r="C322" s="658" t="s">
        <v>346</v>
      </c>
      <c r="D322" s="659" t="s">
        <v>374</v>
      </c>
      <c r="E322" s="643">
        <v>40.1</v>
      </c>
      <c r="F322" s="644">
        <f t="shared" si="11"/>
        <v>431.63238999999999</v>
      </c>
      <c r="G322" s="658" t="s">
        <v>351</v>
      </c>
      <c r="H322" s="647">
        <v>1</v>
      </c>
      <c r="I322" s="659" t="str">
        <f>IF('Plot By Plot SoA'!Q353=0,"-",'Plot By Plot SoA'!Q353)</f>
        <v>-</v>
      </c>
      <c r="J322" s="658" t="s">
        <v>362</v>
      </c>
      <c r="K322" s="659" t="str">
        <f>IF('Plot By Plot SoA'!K353=0,"-",'Plot By Plot SoA'!K353)</f>
        <v>Frontage Amenity</v>
      </c>
      <c r="L322" s="668">
        <v>158</v>
      </c>
    </row>
    <row r="323" spans="1:12" ht="26.25" customHeight="1" x14ac:dyDescent="0.35">
      <c r="A323" s="858" t="s">
        <v>113</v>
      </c>
      <c r="B323" s="859"/>
      <c r="C323" s="860"/>
      <c r="D323" s="884" t="s">
        <v>409</v>
      </c>
      <c r="E323" s="884"/>
      <c r="F323" s="884"/>
      <c r="G323" s="864"/>
      <c r="H323" s="859"/>
      <c r="I323" s="859"/>
      <c r="J323" s="860"/>
      <c r="K323" s="880" t="s">
        <v>395</v>
      </c>
      <c r="L323" s="881"/>
    </row>
    <row r="324" spans="1:12" ht="26.25" customHeight="1" thickBot="1" x14ac:dyDescent="0.4">
      <c r="A324" s="861">
        <f>COUNTA(B6:B322)</f>
        <v>317</v>
      </c>
      <c r="B324" s="862"/>
      <c r="C324" s="863"/>
      <c r="D324" s="885">
        <f>SUM(F6:F322)</f>
        <v>244275.75235999946</v>
      </c>
      <c r="E324" s="885"/>
      <c r="F324" s="885"/>
      <c r="G324" s="865" t="s">
        <v>412</v>
      </c>
      <c r="H324" s="866"/>
      <c r="I324" s="866"/>
      <c r="J324" s="867"/>
      <c r="K324" s="882">
        <f>SUM(L6:L322)</f>
        <v>25751</v>
      </c>
      <c r="L324" s="883"/>
    </row>
    <row r="325" spans="1:12" ht="19.5" customHeight="1" x14ac:dyDescent="0.35">
      <c r="A325" s="875"/>
      <c r="B325" s="876"/>
      <c r="C325" s="876"/>
      <c r="D325" s="876"/>
      <c r="E325" s="876"/>
      <c r="F325" s="877"/>
      <c r="G325" s="660"/>
      <c r="H325" s="660"/>
      <c r="I325" s="660"/>
      <c r="J325" s="660"/>
      <c r="K325" s="661"/>
      <c r="L325" s="661"/>
    </row>
    <row r="326" spans="1:12" ht="19.5" customHeight="1" x14ac:dyDescent="0.35">
      <c r="A326" s="868" t="s">
        <v>397</v>
      </c>
      <c r="B326" s="869"/>
      <c r="C326" s="869"/>
      <c r="D326" s="869"/>
      <c r="E326" s="869"/>
      <c r="F326" s="870"/>
    </row>
    <row r="327" spans="1:12" x14ac:dyDescent="0.35">
      <c r="A327" s="903" t="s">
        <v>401</v>
      </c>
      <c r="B327" s="903"/>
      <c r="C327" s="903"/>
      <c r="D327" s="903"/>
      <c r="E327" s="903"/>
      <c r="F327" s="904"/>
      <c r="J327" s="1319" t="s">
        <v>422</v>
      </c>
      <c r="K327" s="1320"/>
      <c r="L327" s="1321"/>
    </row>
    <row r="328" spans="1:12" ht="16.5" customHeight="1" x14ac:dyDescent="0.35">
      <c r="A328" s="841"/>
      <c r="B328" s="842"/>
      <c r="C328" s="842"/>
      <c r="D328" s="843"/>
      <c r="E328" s="669" t="s">
        <v>247</v>
      </c>
      <c r="F328" s="670" t="s">
        <v>246</v>
      </c>
      <c r="J328" s="1397"/>
      <c r="K328" s="1396" t="s">
        <v>247</v>
      </c>
      <c r="L328" s="670" t="s">
        <v>246</v>
      </c>
    </row>
    <row r="329" spans="1:12" ht="22.5" customHeight="1" x14ac:dyDescent="0.35">
      <c r="A329" s="785" t="s">
        <v>413</v>
      </c>
      <c r="B329" s="786"/>
      <c r="C329" s="891" t="s">
        <v>9</v>
      </c>
      <c r="D329" s="892"/>
      <c r="E329" s="780">
        <v>69.25</v>
      </c>
      <c r="F329" s="663">
        <f t="shared" ref="F329:F333" si="12">SUM(E329*10.7639)</f>
        <v>745.40007500000002</v>
      </c>
      <c r="J329" s="1398" t="s">
        <v>426</v>
      </c>
      <c r="K329" s="1324">
        <v>171.7</v>
      </c>
      <c r="L329" s="1322">
        <f>SUM(K329*10.7639)</f>
        <v>1848.1616299999998</v>
      </c>
    </row>
    <row r="330" spans="1:12" ht="20.25" customHeight="1" x14ac:dyDescent="0.35">
      <c r="A330" s="787"/>
      <c r="B330" s="788"/>
      <c r="C330" s="887" t="s">
        <v>10</v>
      </c>
      <c r="D330" s="887"/>
      <c r="E330" s="640">
        <v>71.569999999999993</v>
      </c>
      <c r="F330" s="663">
        <f t="shared" si="12"/>
        <v>770.37232299999994</v>
      </c>
      <c r="J330" s="1398" t="s">
        <v>32</v>
      </c>
      <c r="K330" s="1325">
        <v>254.5</v>
      </c>
      <c r="L330" s="1317">
        <f t="shared" ref="L330:L333" si="13">SUM(K330*10.7639)</f>
        <v>2739.41255</v>
      </c>
    </row>
    <row r="331" spans="1:12" ht="20.25" customHeight="1" x14ac:dyDescent="0.35">
      <c r="A331" s="787"/>
      <c r="B331" s="788"/>
      <c r="C331" s="887" t="s">
        <v>11</v>
      </c>
      <c r="D331" s="887"/>
      <c r="E331" s="640">
        <v>75</v>
      </c>
      <c r="F331" s="663">
        <f t="shared" si="12"/>
        <v>807.29250000000002</v>
      </c>
      <c r="J331" s="1398" t="s">
        <v>33</v>
      </c>
      <c r="K331" s="1325">
        <v>136.60000000000002</v>
      </c>
      <c r="L331" s="1317">
        <f t="shared" si="13"/>
        <v>1470.3487400000001</v>
      </c>
    </row>
    <row r="332" spans="1:12" ht="16.5" customHeight="1" x14ac:dyDescent="0.35">
      <c r="A332" s="787"/>
      <c r="B332" s="788"/>
      <c r="C332" s="887" t="s">
        <v>12</v>
      </c>
      <c r="D332" s="887"/>
      <c r="E332" s="640">
        <v>47</v>
      </c>
      <c r="F332" s="663">
        <f t="shared" si="12"/>
        <v>505.9033</v>
      </c>
      <c r="J332" s="1398" t="s">
        <v>90</v>
      </c>
      <c r="K332" s="1325">
        <v>285.60000000000002</v>
      </c>
      <c r="L332" s="1317">
        <f t="shared" si="13"/>
        <v>3074.16984</v>
      </c>
    </row>
    <row r="333" spans="1:12" ht="30" x14ac:dyDescent="0.35">
      <c r="A333" s="787"/>
      <c r="B333" s="788"/>
      <c r="C333" s="887" t="s">
        <v>13</v>
      </c>
      <c r="D333" s="887"/>
      <c r="E333" s="640">
        <v>47</v>
      </c>
      <c r="F333" s="663">
        <f t="shared" si="12"/>
        <v>505.9033</v>
      </c>
      <c r="J333" s="1399" t="s">
        <v>34</v>
      </c>
      <c r="K333" s="1325">
        <v>2105.8500000000004</v>
      </c>
      <c r="L333" s="1317">
        <f t="shared" si="13"/>
        <v>22667.158815000003</v>
      </c>
    </row>
    <row r="334" spans="1:12" ht="16.5" customHeight="1" x14ac:dyDescent="0.35">
      <c r="A334" s="791"/>
      <c r="B334" s="791"/>
      <c r="C334" s="791"/>
      <c r="D334" s="791"/>
      <c r="E334" s="791"/>
      <c r="F334" s="791"/>
      <c r="G334" s="664"/>
      <c r="J334" s="1400"/>
      <c r="K334" s="1326">
        <f>SUM(K329:K333)</f>
        <v>2954.2500000000005</v>
      </c>
      <c r="L334" s="1327">
        <f>SUM(L329:L333)</f>
        <v>31799.251575000002</v>
      </c>
    </row>
    <row r="335" spans="1:12" ht="16.5" customHeight="1" thickBot="1" x14ac:dyDescent="0.4">
      <c r="A335" s="871" t="s">
        <v>415</v>
      </c>
      <c r="B335" s="871"/>
      <c r="C335" s="871"/>
      <c r="D335" s="871"/>
      <c r="E335" s="871"/>
      <c r="F335" s="679">
        <f>SUM(F329:F333)</f>
        <v>3334.871498</v>
      </c>
    </row>
    <row r="336" spans="1:12" ht="16.5" customHeight="1" thickBot="1" x14ac:dyDescent="0.4">
      <c r="A336" s="1312"/>
      <c r="B336" s="1312"/>
      <c r="C336" s="1312"/>
      <c r="D336" s="1312"/>
      <c r="E336" s="1312"/>
      <c r="F336" s="1313"/>
      <c r="J336" s="1081" t="s">
        <v>424</v>
      </c>
      <c r="K336" s="1079"/>
      <c r="L336" s="1331">
        <f>SUM(L334+D324)</f>
        <v>276075.00393499946</v>
      </c>
    </row>
    <row r="337" spans="1:12" ht="66" customHeight="1" x14ac:dyDescent="0.35">
      <c r="A337" s="1315" t="s">
        <v>414</v>
      </c>
      <c r="B337" s="1308"/>
      <c r="C337" s="1309" t="s">
        <v>14</v>
      </c>
      <c r="D337" s="1310"/>
      <c r="E337" s="780">
        <v>169.5</v>
      </c>
      <c r="F337" s="1311">
        <f>SUM(E337*10.7639)</f>
        <v>1824.4810499999999</v>
      </c>
    </row>
    <row r="338" spans="1:12" ht="16.5" customHeight="1" x14ac:dyDescent="0.35">
      <c r="A338" s="1314"/>
      <c r="B338" s="783"/>
      <c r="C338" s="783"/>
      <c r="D338" s="783"/>
      <c r="E338" s="783"/>
      <c r="F338" s="784"/>
    </row>
    <row r="339" spans="1:12" ht="16.5" customHeight="1" thickBot="1" x14ac:dyDescent="0.4">
      <c r="A339" s="835"/>
      <c r="B339" s="835"/>
      <c r="C339" s="835"/>
      <c r="D339" s="835"/>
      <c r="E339" s="835"/>
      <c r="F339" s="836"/>
    </row>
    <row r="340" spans="1:12" ht="36.75" customHeight="1" thickBot="1" x14ac:dyDescent="0.4">
      <c r="A340" s="872" t="s">
        <v>416</v>
      </c>
      <c r="B340" s="873"/>
      <c r="C340" s="873"/>
      <c r="D340" s="873"/>
      <c r="E340" s="873"/>
      <c r="F340" s="1299">
        <f>SUM(D324+F335+F337)</f>
        <v>249435.10490799946</v>
      </c>
      <c r="J340" s="1328" t="s">
        <v>423</v>
      </c>
      <c r="K340" s="1329"/>
      <c r="L340" s="1330">
        <f>SUM(L334+F340)</f>
        <v>281234.35648299946</v>
      </c>
    </row>
    <row r="341" spans="1:12" x14ac:dyDescent="0.35">
      <c r="A341" s="781"/>
      <c r="B341" s="781"/>
      <c r="C341" s="781"/>
      <c r="D341" s="781"/>
      <c r="E341" s="781"/>
      <c r="F341" s="782"/>
    </row>
    <row r="342" spans="1:12" x14ac:dyDescent="0.35">
      <c r="A342" s="781"/>
      <c r="B342" s="781"/>
      <c r="C342" s="781"/>
      <c r="D342" s="781"/>
      <c r="E342" s="781"/>
      <c r="F342" s="782"/>
    </row>
    <row r="343" spans="1:12" x14ac:dyDescent="0.35">
      <c r="A343" s="889" t="s">
        <v>410</v>
      </c>
      <c r="B343" s="890"/>
      <c r="C343" s="890"/>
      <c r="D343" s="890"/>
      <c r="E343" s="890"/>
      <c r="F343" s="1300"/>
    </row>
    <row r="344" spans="1:12" ht="14.45" customHeight="1" x14ac:dyDescent="0.35">
      <c r="A344" s="1301"/>
      <c r="B344" s="842"/>
      <c r="C344" s="842"/>
      <c r="D344" s="843"/>
      <c r="E344" s="669" t="s">
        <v>247</v>
      </c>
      <c r="F344" s="670" t="s">
        <v>246</v>
      </c>
      <c r="G344" s="664"/>
    </row>
    <row r="345" spans="1:12" ht="14.45" customHeight="1" x14ac:dyDescent="0.35">
      <c r="A345" s="1302" t="s">
        <v>411</v>
      </c>
      <c r="B345" s="874"/>
      <c r="C345" s="888" t="s">
        <v>213</v>
      </c>
      <c r="D345" s="888"/>
      <c r="E345" s="25">
        <v>251.5</v>
      </c>
      <c r="F345" s="662">
        <f t="shared" ref="F345:F349" si="14">SUM(E345*10.7639)</f>
        <v>2707.1208499999998</v>
      </c>
    </row>
    <row r="346" spans="1:12" ht="14.45" customHeight="1" x14ac:dyDescent="0.35">
      <c r="A346" s="1302"/>
      <c r="B346" s="874"/>
      <c r="C346" s="886" t="s">
        <v>214</v>
      </c>
      <c r="D346" s="886"/>
      <c r="E346" s="640">
        <v>488.35</v>
      </c>
      <c r="F346" s="662">
        <f t="shared" si="14"/>
        <v>5256.5505650000005</v>
      </c>
    </row>
    <row r="347" spans="1:12" ht="14.45" customHeight="1" x14ac:dyDescent="0.35">
      <c r="A347" s="1302"/>
      <c r="B347" s="874"/>
      <c r="C347" s="886" t="s">
        <v>215</v>
      </c>
      <c r="D347" s="886"/>
      <c r="E347" s="640">
        <v>400</v>
      </c>
      <c r="F347" s="662">
        <f t="shared" si="14"/>
        <v>4305.5599999999995</v>
      </c>
    </row>
    <row r="348" spans="1:12" ht="14.45" customHeight="1" x14ac:dyDescent="0.35">
      <c r="A348" s="1302"/>
      <c r="B348" s="874"/>
      <c r="C348" s="886" t="s">
        <v>216</v>
      </c>
      <c r="D348" s="886"/>
      <c r="E348" s="640">
        <v>445</v>
      </c>
      <c r="F348" s="662">
        <f t="shared" si="14"/>
        <v>4789.9354999999996</v>
      </c>
    </row>
    <row r="349" spans="1:12" ht="16.5" customHeight="1" x14ac:dyDescent="0.35">
      <c r="A349" s="1302"/>
      <c r="B349" s="874"/>
      <c r="C349" s="886" t="s">
        <v>217</v>
      </c>
      <c r="D349" s="886"/>
      <c r="E349" s="640">
        <v>2813</v>
      </c>
      <c r="F349" s="662">
        <f t="shared" si="14"/>
        <v>30278.850699999999</v>
      </c>
    </row>
    <row r="350" spans="1:12" x14ac:dyDescent="0.35">
      <c r="A350" s="1303" t="s">
        <v>396</v>
      </c>
      <c r="B350" s="878"/>
      <c r="C350" s="878"/>
      <c r="D350" s="878"/>
      <c r="E350" s="879"/>
      <c r="F350" s="687">
        <f>SUM(F345:F349)</f>
        <v>47338.017615000004</v>
      </c>
    </row>
    <row r="351" spans="1:12" ht="36" customHeight="1" x14ac:dyDescent="0.35">
      <c r="A351" s="791"/>
      <c r="B351" s="791"/>
      <c r="C351" s="791"/>
      <c r="D351" s="791"/>
      <c r="E351" s="791"/>
      <c r="F351" s="791"/>
    </row>
    <row r="353" ht="33.75" customHeight="1" x14ac:dyDescent="0.35"/>
  </sheetData>
  <mergeCells count="133">
    <mergeCell ref="J327:L327"/>
    <mergeCell ref="J340:K340"/>
    <mergeCell ref="J336:K336"/>
    <mergeCell ref="P17:U17"/>
    <mergeCell ref="P18:S18"/>
    <mergeCell ref="P19:S19"/>
    <mergeCell ref="P20:S20"/>
    <mergeCell ref="P21:S21"/>
    <mergeCell ref="A1:L1"/>
    <mergeCell ref="I4:I5"/>
    <mergeCell ref="A20:A23"/>
    <mergeCell ref="A24:A30"/>
    <mergeCell ref="K4:K5"/>
    <mergeCell ref="L4:L5"/>
    <mergeCell ref="A3:L3"/>
    <mergeCell ref="A31:A47"/>
    <mergeCell ref="A48:A91"/>
    <mergeCell ref="J4:J5"/>
    <mergeCell ref="A6:A10"/>
    <mergeCell ref="A11:A19"/>
    <mergeCell ref="A4:A5"/>
    <mergeCell ref="B4:B5"/>
    <mergeCell ref="E4:F4"/>
    <mergeCell ref="G4:G5"/>
    <mergeCell ref="H4:H5"/>
    <mergeCell ref="C4:D4"/>
    <mergeCell ref="A344:D344"/>
    <mergeCell ref="C329:D329"/>
    <mergeCell ref="C330:D330"/>
    <mergeCell ref="C331:D331"/>
    <mergeCell ref="C332:D332"/>
    <mergeCell ref="A148:A168"/>
    <mergeCell ref="A169:A221"/>
    <mergeCell ref="A222:A303"/>
    <mergeCell ref="A304:A322"/>
    <mergeCell ref="A327:F327"/>
    <mergeCell ref="A351:F351"/>
    <mergeCell ref="A2:L2"/>
    <mergeCell ref="A323:C323"/>
    <mergeCell ref="A324:C324"/>
    <mergeCell ref="G323:J323"/>
    <mergeCell ref="G324:J324"/>
    <mergeCell ref="A326:F326"/>
    <mergeCell ref="A335:E335"/>
    <mergeCell ref="A340:E340"/>
    <mergeCell ref="A345:B349"/>
    <mergeCell ref="A343:F343"/>
    <mergeCell ref="A325:F325"/>
    <mergeCell ref="A350:E350"/>
    <mergeCell ref="K323:L323"/>
    <mergeCell ref="K324:L324"/>
    <mergeCell ref="D323:F323"/>
    <mergeCell ref="D324:F324"/>
    <mergeCell ref="C347:D347"/>
    <mergeCell ref="C348:D348"/>
    <mergeCell ref="C349:D349"/>
    <mergeCell ref="C333:D333"/>
    <mergeCell ref="C345:D345"/>
    <mergeCell ref="C346:D346"/>
    <mergeCell ref="A339:F339"/>
    <mergeCell ref="P7:S7"/>
    <mergeCell ref="P9:S9"/>
    <mergeCell ref="A328:D328"/>
    <mergeCell ref="P6:S6"/>
    <mergeCell ref="P41:Q41"/>
    <mergeCell ref="R41:S41"/>
    <mergeCell ref="A92:A120"/>
    <mergeCell ref="A121:A147"/>
    <mergeCell ref="P43:Q43"/>
    <mergeCell ref="R43:S43"/>
    <mergeCell ref="P44:Q44"/>
    <mergeCell ref="A334:F334"/>
    <mergeCell ref="P11:U11"/>
    <mergeCell ref="P12:S12"/>
    <mergeCell ref="P13:S13"/>
    <mergeCell ref="P14:S14"/>
    <mergeCell ref="P15:S15"/>
    <mergeCell ref="X41:Y41"/>
    <mergeCell ref="P42:Q42"/>
    <mergeCell ref="R42:S42"/>
    <mergeCell ref="U42:W42"/>
    <mergeCell ref="X42:Y42"/>
    <mergeCell ref="U43:W43"/>
    <mergeCell ref="P5:U5"/>
    <mergeCell ref="P39:S39"/>
    <mergeCell ref="U39:Y39"/>
    <mergeCell ref="P40:Q40"/>
    <mergeCell ref="R40:S40"/>
    <mergeCell ref="U40:W40"/>
    <mergeCell ref="X40:Y40"/>
    <mergeCell ref="P23:V23"/>
    <mergeCell ref="X43:Y43"/>
    <mergeCell ref="X45:Y45"/>
    <mergeCell ref="P46:Q46"/>
    <mergeCell ref="R46:S46"/>
    <mergeCell ref="U46:W46"/>
    <mergeCell ref="R44:S44"/>
    <mergeCell ref="U52:W52"/>
    <mergeCell ref="X52:Y52"/>
    <mergeCell ref="P49:Q49"/>
    <mergeCell ref="R49:S49"/>
    <mergeCell ref="U49:W49"/>
    <mergeCell ref="X49:Y49"/>
    <mergeCell ref="P50:Q50"/>
    <mergeCell ref="R50:S50"/>
    <mergeCell ref="U50:W50"/>
    <mergeCell ref="X50:Y50"/>
    <mergeCell ref="U44:W44"/>
    <mergeCell ref="X44:Y44"/>
    <mergeCell ref="X46:Y46"/>
    <mergeCell ref="X51:Y51"/>
    <mergeCell ref="P47:Q47"/>
    <mergeCell ref="R47:S47"/>
    <mergeCell ref="U47:W47"/>
    <mergeCell ref="X47:Y47"/>
    <mergeCell ref="P48:Q48"/>
    <mergeCell ref="R48:S48"/>
    <mergeCell ref="U48:W48"/>
    <mergeCell ref="X48:Y48"/>
    <mergeCell ref="P8:S8"/>
    <mergeCell ref="C337:D337"/>
    <mergeCell ref="A329:B333"/>
    <mergeCell ref="A337:B337"/>
    <mergeCell ref="P2:U3"/>
    <mergeCell ref="P4:U4"/>
    <mergeCell ref="P31:U31"/>
    <mergeCell ref="P51:Q51"/>
    <mergeCell ref="R51:S51"/>
    <mergeCell ref="U51:W51"/>
    <mergeCell ref="P45:Q45"/>
    <mergeCell ref="R45:S45"/>
    <mergeCell ref="U45:W45"/>
    <mergeCell ref="U41:W41"/>
  </mergeCells>
  <pageMargins left="0.7" right="0.7" top="0.75" bottom="0.75" header="0.3" footer="0.3"/>
  <pageSetup paperSize="8" scale="42" fitToHeight="0" orientation="portrait" horizontalDpi="360" verticalDpi="36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1F3C3-D02B-4AA7-8A23-FFC97BE61D82}">
  <sheetPr>
    <pageSetUpPr fitToPage="1"/>
  </sheetPr>
  <dimension ref="A1:AF143"/>
  <sheetViews>
    <sheetView zoomScale="40" zoomScaleNormal="40" workbookViewId="0">
      <selection activeCell="P20" sqref="P20"/>
    </sheetView>
  </sheetViews>
  <sheetFormatPr defaultRowHeight="15" x14ac:dyDescent="0.35"/>
  <cols>
    <col min="1" max="2" width="11" style="1512" customWidth="1"/>
    <col min="3" max="3" width="16" style="1512" customWidth="1"/>
    <col min="4" max="4" width="50" style="1512" customWidth="1"/>
    <col min="5" max="6" width="11" style="1402" customWidth="1"/>
    <col min="7" max="7" width="16" style="1402" customWidth="1"/>
    <col min="8" max="8" width="50" style="1402" customWidth="1"/>
    <col min="9" max="9" width="11" style="1402" customWidth="1"/>
    <col min="10" max="10" width="16" style="1402" customWidth="1"/>
    <col min="11" max="11" width="50" style="1402" customWidth="1"/>
    <col min="12" max="14" width="11" style="1402" customWidth="1"/>
    <col min="15" max="15" width="16" style="1402" customWidth="1"/>
    <col min="16" max="16" width="50" style="1402" customWidth="1"/>
    <col min="17" max="17" width="11" style="1402" customWidth="1"/>
    <col min="18" max="18" width="16" style="1402" customWidth="1"/>
    <col min="19" max="19" width="50" style="1402" customWidth="1"/>
    <col min="20" max="21" width="11" style="1402" customWidth="1"/>
    <col min="22" max="22" width="16" style="1402" customWidth="1"/>
    <col min="23" max="23" width="50" style="1402" customWidth="1"/>
    <col min="24" max="16384" width="9.140625" style="1402"/>
  </cols>
  <sheetData>
    <row r="1" spans="1:24" ht="31.5" customHeight="1" x14ac:dyDescent="0.35">
      <c r="A1" s="1513" t="s">
        <v>608</v>
      </c>
      <c r="B1" s="1513"/>
      <c r="C1" s="1513"/>
      <c r="D1" s="1513"/>
    </row>
    <row r="2" spans="1:24" ht="25.5" customHeight="1" thickBot="1" x14ac:dyDescent="0.4">
      <c r="A2" s="1514">
        <v>45992</v>
      </c>
      <c r="B2" s="1514"/>
      <c r="C2" s="1514"/>
      <c r="D2" s="1514"/>
    </row>
    <row r="3" spans="1:24" s="1405" customFormat="1" ht="30" customHeight="1" x14ac:dyDescent="0.35">
      <c r="A3" s="1515" t="s">
        <v>128</v>
      </c>
      <c r="B3" s="1516" t="s">
        <v>0</v>
      </c>
      <c r="C3" s="1517" t="s">
        <v>609</v>
      </c>
      <c r="D3" s="1515" t="s">
        <v>610</v>
      </c>
      <c r="E3" s="1515" t="s">
        <v>128</v>
      </c>
      <c r="F3" s="1515" t="s">
        <v>0</v>
      </c>
      <c r="G3" s="1515" t="s">
        <v>609</v>
      </c>
      <c r="H3" s="1515" t="s">
        <v>610</v>
      </c>
      <c r="I3" s="1515" t="s">
        <v>0</v>
      </c>
      <c r="J3" s="1515" t="s">
        <v>609</v>
      </c>
      <c r="K3" s="1518" t="s">
        <v>610</v>
      </c>
      <c r="M3" s="1517" t="s">
        <v>128</v>
      </c>
      <c r="N3" s="1519" t="s">
        <v>0</v>
      </c>
      <c r="O3" s="1520" t="s">
        <v>609</v>
      </c>
      <c r="P3" s="1516" t="s">
        <v>610</v>
      </c>
      <c r="Q3" s="1520" t="s">
        <v>0</v>
      </c>
      <c r="R3" s="1517" t="s">
        <v>609</v>
      </c>
      <c r="S3" s="1521" t="s">
        <v>610</v>
      </c>
      <c r="T3" s="1517" t="s">
        <v>128</v>
      </c>
      <c r="U3" s="1522" t="s">
        <v>0</v>
      </c>
      <c r="V3" s="1523" t="s">
        <v>609</v>
      </c>
      <c r="W3" s="1524" t="s">
        <v>610</v>
      </c>
      <c r="X3" s="1402"/>
    </row>
    <row r="4" spans="1:24" s="1405" customFormat="1" ht="15.75" customHeight="1" thickBot="1" x14ac:dyDescent="0.4">
      <c r="A4" s="1525"/>
      <c r="B4" s="1526"/>
      <c r="C4" s="1527"/>
      <c r="D4" s="1525"/>
      <c r="E4" s="1525"/>
      <c r="F4" s="1525"/>
      <c r="G4" s="1525"/>
      <c r="H4" s="1525"/>
      <c r="I4" s="1525"/>
      <c r="J4" s="1525"/>
      <c r="K4" s="1528"/>
      <c r="M4" s="1527"/>
      <c r="N4" s="1529"/>
      <c r="O4" s="1530"/>
      <c r="P4" s="1526"/>
      <c r="Q4" s="1530"/>
      <c r="R4" s="1527"/>
      <c r="S4" s="1531"/>
      <c r="T4" s="1527"/>
      <c r="U4" s="1532"/>
      <c r="V4" s="1533"/>
      <c r="W4" s="1534"/>
      <c r="X4" s="1402"/>
    </row>
    <row r="5" spans="1:24" ht="15" customHeight="1" x14ac:dyDescent="0.35">
      <c r="A5" s="1535" t="s">
        <v>25</v>
      </c>
      <c r="B5" s="1536">
        <v>143</v>
      </c>
      <c r="C5" s="1537" t="s">
        <v>611</v>
      </c>
      <c r="D5" s="1538" t="s">
        <v>612</v>
      </c>
      <c r="E5" s="1535" t="s">
        <v>26</v>
      </c>
      <c r="F5" s="1539">
        <v>163</v>
      </c>
      <c r="G5" s="1540" t="s">
        <v>613</v>
      </c>
      <c r="H5" s="1541" t="s">
        <v>614</v>
      </c>
      <c r="I5" s="1542">
        <v>189</v>
      </c>
      <c r="J5" s="1543" t="s">
        <v>613</v>
      </c>
      <c r="K5" s="1544" t="s">
        <v>615</v>
      </c>
      <c r="M5" s="1535" t="s">
        <v>616</v>
      </c>
      <c r="N5" s="1545">
        <v>216</v>
      </c>
      <c r="O5" s="1546" t="s">
        <v>613</v>
      </c>
      <c r="P5" s="1547" t="s">
        <v>614</v>
      </c>
      <c r="Q5" s="1541">
        <v>262</v>
      </c>
      <c r="R5" s="1540" t="s">
        <v>613</v>
      </c>
      <c r="S5" s="1548" t="s">
        <v>614</v>
      </c>
      <c r="T5" s="1535" t="s">
        <v>617</v>
      </c>
      <c r="U5" s="1548">
        <v>298</v>
      </c>
      <c r="V5" s="1549" t="s">
        <v>613</v>
      </c>
      <c r="W5" s="1550" t="s">
        <v>614</v>
      </c>
    </row>
    <row r="6" spans="1:24" ht="16.5" customHeight="1" x14ac:dyDescent="0.35">
      <c r="A6" s="1551"/>
      <c r="B6" s="1536"/>
      <c r="C6" s="1537"/>
      <c r="D6" s="1538"/>
      <c r="E6" s="1551"/>
      <c r="F6" s="1552">
        <v>164</v>
      </c>
      <c r="G6" s="1553" t="s">
        <v>618</v>
      </c>
      <c r="H6" s="1554" t="s">
        <v>614</v>
      </c>
      <c r="I6" s="1555"/>
      <c r="J6" s="1556"/>
      <c r="K6" s="1557"/>
      <c r="M6" s="1551"/>
      <c r="N6" s="1552">
        <v>217</v>
      </c>
      <c r="O6" s="1558" t="s">
        <v>619</v>
      </c>
      <c r="P6" s="1554" t="s">
        <v>614</v>
      </c>
      <c r="Q6" s="1554">
        <v>263</v>
      </c>
      <c r="R6" s="1559" t="s">
        <v>613</v>
      </c>
      <c r="S6" s="1560" t="s">
        <v>614</v>
      </c>
      <c r="T6" s="1551"/>
      <c r="U6" s="1552">
        <v>299</v>
      </c>
      <c r="V6" s="1559" t="s">
        <v>613</v>
      </c>
      <c r="W6" s="1561" t="s">
        <v>614</v>
      </c>
    </row>
    <row r="7" spans="1:24" ht="15" customHeight="1" x14ac:dyDescent="0.35">
      <c r="A7" s="1551"/>
      <c r="B7" s="1562"/>
      <c r="C7" s="1563"/>
      <c r="D7" s="1564"/>
      <c r="E7" s="1551"/>
      <c r="F7" s="1552">
        <v>165</v>
      </c>
      <c r="G7" s="1554" t="s">
        <v>614</v>
      </c>
      <c r="H7" s="1554" t="s">
        <v>620</v>
      </c>
      <c r="I7" s="1565">
        <v>190</v>
      </c>
      <c r="J7" s="1566" t="s">
        <v>613</v>
      </c>
      <c r="K7" s="1567" t="s">
        <v>615</v>
      </c>
      <c r="M7" s="1551"/>
      <c r="N7" s="1552">
        <v>218</v>
      </c>
      <c r="O7" s="1559" t="s">
        <v>613</v>
      </c>
      <c r="P7" s="1554" t="s">
        <v>614</v>
      </c>
      <c r="Q7" s="1554">
        <v>264</v>
      </c>
      <c r="R7" s="1559" t="s">
        <v>613</v>
      </c>
      <c r="S7" s="1560" t="s">
        <v>614</v>
      </c>
      <c r="T7" s="1551"/>
      <c r="U7" s="1552">
        <v>300</v>
      </c>
      <c r="V7" s="1559" t="s">
        <v>613</v>
      </c>
      <c r="W7" s="1561" t="s">
        <v>614</v>
      </c>
    </row>
    <row r="8" spans="1:24" ht="15" customHeight="1" x14ac:dyDescent="0.35">
      <c r="A8" s="1551"/>
      <c r="B8" s="1568">
        <v>144</v>
      </c>
      <c r="C8" s="1566" t="s">
        <v>613</v>
      </c>
      <c r="D8" s="1569" t="s">
        <v>621</v>
      </c>
      <c r="E8" s="1551"/>
      <c r="F8" s="1568">
        <v>166</v>
      </c>
      <c r="G8" s="1566" t="s">
        <v>613</v>
      </c>
      <c r="H8" s="1570" t="s">
        <v>621</v>
      </c>
      <c r="I8" s="1542"/>
      <c r="J8" s="1543"/>
      <c r="K8" s="1544"/>
      <c r="M8" s="1551"/>
      <c r="N8" s="1552">
        <v>219</v>
      </c>
      <c r="O8" s="1559" t="s">
        <v>613</v>
      </c>
      <c r="P8" s="1554" t="s">
        <v>614</v>
      </c>
      <c r="Q8" s="1554">
        <v>265</v>
      </c>
      <c r="R8" s="1559" t="s">
        <v>613</v>
      </c>
      <c r="S8" s="1560" t="s">
        <v>614</v>
      </c>
      <c r="T8" s="1551"/>
      <c r="U8" s="1552">
        <v>301</v>
      </c>
      <c r="V8" s="1559" t="s">
        <v>613</v>
      </c>
      <c r="W8" s="1561" t="s">
        <v>614</v>
      </c>
    </row>
    <row r="9" spans="1:24" ht="15" customHeight="1" x14ac:dyDescent="0.35">
      <c r="A9" s="1551"/>
      <c r="B9" s="1562"/>
      <c r="C9" s="1556"/>
      <c r="D9" s="1571"/>
      <c r="E9" s="1551"/>
      <c r="F9" s="1562"/>
      <c r="G9" s="1556"/>
      <c r="H9" s="1572"/>
      <c r="I9" s="1565">
        <v>191</v>
      </c>
      <c r="J9" s="1566" t="s">
        <v>613</v>
      </c>
      <c r="K9" s="1567" t="s">
        <v>615</v>
      </c>
      <c r="M9" s="1551"/>
      <c r="N9" s="1552">
        <v>220</v>
      </c>
      <c r="O9" s="1559" t="s">
        <v>613</v>
      </c>
      <c r="P9" s="1554" t="s">
        <v>614</v>
      </c>
      <c r="Q9" s="1554">
        <v>266</v>
      </c>
      <c r="R9" s="1559" t="s">
        <v>613</v>
      </c>
      <c r="S9" s="1560" t="s">
        <v>614</v>
      </c>
      <c r="T9" s="1551"/>
      <c r="U9" s="1552">
        <v>302</v>
      </c>
      <c r="V9" s="1573" t="s">
        <v>611</v>
      </c>
      <c r="W9" s="1561" t="s">
        <v>622</v>
      </c>
    </row>
    <row r="10" spans="1:24" ht="15" customHeight="1" x14ac:dyDescent="0.35">
      <c r="A10" s="1551"/>
      <c r="B10" s="1568">
        <v>145</v>
      </c>
      <c r="C10" s="1574" t="s">
        <v>611</v>
      </c>
      <c r="D10" s="1575" t="s">
        <v>623</v>
      </c>
      <c r="E10" s="1551"/>
      <c r="F10" s="1552">
        <v>167</v>
      </c>
      <c r="G10" s="1559" t="s">
        <v>613</v>
      </c>
      <c r="H10" s="1554" t="s">
        <v>624</v>
      </c>
      <c r="I10" s="1555"/>
      <c r="J10" s="1556"/>
      <c r="K10" s="1557"/>
      <c r="M10" s="1551"/>
      <c r="N10" s="1552">
        <v>221</v>
      </c>
      <c r="O10" s="1559" t="s">
        <v>613</v>
      </c>
      <c r="P10" s="1554" t="s">
        <v>614</v>
      </c>
      <c r="Q10" s="1554">
        <v>267</v>
      </c>
      <c r="R10" s="1559" t="s">
        <v>613</v>
      </c>
      <c r="S10" s="1560" t="s">
        <v>614</v>
      </c>
      <c r="T10" s="1551"/>
      <c r="U10" s="1552">
        <v>303</v>
      </c>
      <c r="V10" s="1573" t="s">
        <v>611</v>
      </c>
      <c r="W10" s="1561" t="s">
        <v>622</v>
      </c>
    </row>
    <row r="11" spans="1:24" ht="15" customHeight="1" x14ac:dyDescent="0.35">
      <c r="A11" s="1551"/>
      <c r="B11" s="1536"/>
      <c r="C11" s="1537"/>
      <c r="D11" s="1538"/>
      <c r="E11" s="1551"/>
      <c r="F11" s="1568">
        <v>168</v>
      </c>
      <c r="G11" s="1566" t="s">
        <v>613</v>
      </c>
      <c r="H11" s="1570" t="s">
        <v>621</v>
      </c>
      <c r="I11" s="1565">
        <v>192</v>
      </c>
      <c r="J11" s="1566" t="s">
        <v>613</v>
      </c>
      <c r="K11" s="1567" t="s">
        <v>615</v>
      </c>
      <c r="M11" s="1551"/>
      <c r="N11" s="1552">
        <v>222</v>
      </c>
      <c r="O11" s="1559" t="s">
        <v>613</v>
      </c>
      <c r="P11" s="1554" t="s">
        <v>614</v>
      </c>
      <c r="Q11" s="1554">
        <v>268</v>
      </c>
      <c r="R11" s="1559" t="s">
        <v>613</v>
      </c>
      <c r="S11" s="1560" t="s">
        <v>614</v>
      </c>
      <c r="T11" s="1551"/>
      <c r="U11" s="1568">
        <v>304</v>
      </c>
      <c r="V11" s="1576" t="s">
        <v>618</v>
      </c>
      <c r="W11" s="1567" t="s">
        <v>625</v>
      </c>
    </row>
    <row r="12" spans="1:24" x14ac:dyDescent="0.35">
      <c r="A12" s="1551"/>
      <c r="B12" s="1562"/>
      <c r="C12" s="1563"/>
      <c r="D12" s="1564"/>
      <c r="E12" s="1551"/>
      <c r="F12" s="1562"/>
      <c r="G12" s="1556"/>
      <c r="H12" s="1572"/>
      <c r="I12" s="1555"/>
      <c r="J12" s="1556"/>
      <c r="K12" s="1557"/>
      <c r="M12" s="1551"/>
      <c r="N12" s="1552">
        <v>223</v>
      </c>
      <c r="O12" s="1559" t="s">
        <v>613</v>
      </c>
      <c r="P12" s="1554" t="s">
        <v>614</v>
      </c>
      <c r="Q12" s="1554">
        <v>269</v>
      </c>
      <c r="R12" s="1559" t="s">
        <v>613</v>
      </c>
      <c r="S12" s="1560" t="s">
        <v>614</v>
      </c>
      <c r="T12" s="1551"/>
      <c r="U12" s="1536"/>
      <c r="V12" s="1577"/>
      <c r="W12" s="1544"/>
    </row>
    <row r="13" spans="1:24" ht="15" customHeight="1" x14ac:dyDescent="0.35">
      <c r="A13" s="1551"/>
      <c r="B13" s="1568">
        <v>146</v>
      </c>
      <c r="C13" s="1566" t="s">
        <v>613</v>
      </c>
      <c r="D13" s="1569" t="s">
        <v>621</v>
      </c>
      <c r="E13" s="1551"/>
      <c r="F13" s="1552">
        <v>169</v>
      </c>
      <c r="G13" s="1559" t="s">
        <v>613</v>
      </c>
      <c r="H13" s="1554" t="s">
        <v>624</v>
      </c>
      <c r="I13" s="1565">
        <v>193</v>
      </c>
      <c r="J13" s="1566" t="s">
        <v>613</v>
      </c>
      <c r="K13" s="1567" t="s">
        <v>615</v>
      </c>
      <c r="M13" s="1551"/>
      <c r="N13" s="1552">
        <v>224</v>
      </c>
      <c r="O13" s="1559" t="s">
        <v>613</v>
      </c>
      <c r="P13" s="1554" t="s">
        <v>614</v>
      </c>
      <c r="Q13" s="1554">
        <v>270</v>
      </c>
      <c r="R13" s="1553" t="s">
        <v>618</v>
      </c>
      <c r="S13" s="1560" t="s">
        <v>614</v>
      </c>
      <c r="T13" s="1551"/>
      <c r="U13" s="1562"/>
      <c r="V13" s="1578"/>
      <c r="W13" s="1557"/>
    </row>
    <row r="14" spans="1:24" ht="15" customHeight="1" x14ac:dyDescent="0.35">
      <c r="A14" s="1551"/>
      <c r="B14" s="1562"/>
      <c r="C14" s="1556"/>
      <c r="D14" s="1571"/>
      <c r="E14" s="1551"/>
      <c r="F14" s="1568">
        <v>170</v>
      </c>
      <c r="G14" s="1566" t="s">
        <v>613</v>
      </c>
      <c r="H14" s="1570" t="s">
        <v>621</v>
      </c>
      <c r="I14" s="1555"/>
      <c r="J14" s="1556"/>
      <c r="K14" s="1557"/>
      <c r="M14" s="1551"/>
      <c r="N14" s="1552">
        <v>225</v>
      </c>
      <c r="O14" s="1559" t="s">
        <v>613</v>
      </c>
      <c r="P14" s="1554" t="s">
        <v>614</v>
      </c>
      <c r="Q14" s="1554">
        <v>271</v>
      </c>
      <c r="R14" s="1559" t="s">
        <v>613</v>
      </c>
      <c r="S14" s="1560" t="s">
        <v>614</v>
      </c>
      <c r="T14" s="1551"/>
      <c r="U14" s="1552">
        <v>305</v>
      </c>
      <c r="V14" s="1559" t="s">
        <v>613</v>
      </c>
      <c r="W14" s="1561" t="s">
        <v>614</v>
      </c>
    </row>
    <row r="15" spans="1:24" ht="15" customHeight="1" x14ac:dyDescent="0.35">
      <c r="A15" s="1551"/>
      <c r="B15" s="1568">
        <v>147</v>
      </c>
      <c r="C15" s="1574" t="s">
        <v>611</v>
      </c>
      <c r="D15" s="1575" t="s">
        <v>623</v>
      </c>
      <c r="E15" s="1551"/>
      <c r="F15" s="1562"/>
      <c r="G15" s="1556"/>
      <c r="H15" s="1572"/>
      <c r="I15" s="1565">
        <v>194</v>
      </c>
      <c r="J15" s="1574" t="s">
        <v>611</v>
      </c>
      <c r="K15" s="1567" t="s">
        <v>626</v>
      </c>
      <c r="M15" s="1551"/>
      <c r="N15" s="1552">
        <v>226</v>
      </c>
      <c r="O15" s="1559" t="s">
        <v>613</v>
      </c>
      <c r="P15" s="1554" t="s">
        <v>614</v>
      </c>
      <c r="Q15" s="1554">
        <v>272</v>
      </c>
      <c r="R15" s="1559" t="s">
        <v>613</v>
      </c>
      <c r="S15" s="1560" t="s">
        <v>614</v>
      </c>
      <c r="T15" s="1551"/>
      <c r="U15" s="1552">
        <v>306</v>
      </c>
      <c r="V15" s="1579" t="s">
        <v>627</v>
      </c>
      <c r="W15" s="1561" t="s">
        <v>614</v>
      </c>
    </row>
    <row r="16" spans="1:24" ht="15" customHeight="1" x14ac:dyDescent="0.35">
      <c r="A16" s="1551"/>
      <c r="B16" s="1536"/>
      <c r="C16" s="1537"/>
      <c r="D16" s="1538"/>
      <c r="E16" s="1551"/>
      <c r="F16" s="1552">
        <v>171</v>
      </c>
      <c r="G16" s="1559" t="s">
        <v>613</v>
      </c>
      <c r="H16" s="1554" t="s">
        <v>624</v>
      </c>
      <c r="I16" s="1555"/>
      <c r="J16" s="1563"/>
      <c r="K16" s="1557"/>
      <c r="M16" s="1551"/>
      <c r="N16" s="1552">
        <v>227</v>
      </c>
      <c r="O16" s="1559" t="s">
        <v>613</v>
      </c>
      <c r="P16" s="1554" t="s">
        <v>614</v>
      </c>
      <c r="Q16" s="1554">
        <v>273</v>
      </c>
      <c r="R16" s="1553" t="s">
        <v>618</v>
      </c>
      <c r="S16" s="1560" t="s">
        <v>614</v>
      </c>
      <c r="T16" s="1551"/>
      <c r="U16" s="1552">
        <v>307</v>
      </c>
      <c r="V16" s="1580" t="s">
        <v>613</v>
      </c>
      <c r="W16" s="1561" t="s">
        <v>614</v>
      </c>
    </row>
    <row r="17" spans="1:23" ht="15" customHeight="1" x14ac:dyDescent="0.35">
      <c r="A17" s="1551"/>
      <c r="B17" s="1562"/>
      <c r="C17" s="1563"/>
      <c r="D17" s="1564"/>
      <c r="E17" s="1551"/>
      <c r="F17" s="1568">
        <v>172</v>
      </c>
      <c r="G17" s="1566" t="s">
        <v>613</v>
      </c>
      <c r="H17" s="1570" t="s">
        <v>621</v>
      </c>
      <c r="I17" s="1554">
        <v>195</v>
      </c>
      <c r="J17" s="1553" t="s">
        <v>618</v>
      </c>
      <c r="K17" s="1561" t="s">
        <v>614</v>
      </c>
      <c r="M17" s="1551"/>
      <c r="N17" s="1552">
        <v>228</v>
      </c>
      <c r="O17" s="1559" t="s">
        <v>613</v>
      </c>
      <c r="P17" s="1554" t="s">
        <v>614</v>
      </c>
      <c r="Q17" s="1565">
        <v>274</v>
      </c>
      <c r="R17" s="1574" t="s">
        <v>611</v>
      </c>
      <c r="S17" s="1569" t="s">
        <v>628</v>
      </c>
      <c r="T17" s="1551"/>
      <c r="U17" s="1552">
        <v>308</v>
      </c>
      <c r="V17" s="1559" t="s">
        <v>613</v>
      </c>
      <c r="W17" s="1561" t="s">
        <v>614</v>
      </c>
    </row>
    <row r="18" spans="1:23" ht="15" customHeight="1" x14ac:dyDescent="0.35">
      <c r="A18" s="1551"/>
      <c r="B18" s="1568">
        <v>148</v>
      </c>
      <c r="C18" s="1566" t="s">
        <v>613</v>
      </c>
      <c r="D18" s="1569" t="s">
        <v>621</v>
      </c>
      <c r="E18" s="1551"/>
      <c r="F18" s="1562"/>
      <c r="G18" s="1556"/>
      <c r="H18" s="1572"/>
      <c r="I18" s="1554">
        <v>196</v>
      </c>
      <c r="J18" s="1580" t="s">
        <v>613</v>
      </c>
      <c r="K18" s="1561" t="s">
        <v>614</v>
      </c>
      <c r="M18" s="1551"/>
      <c r="N18" s="1552">
        <v>229</v>
      </c>
      <c r="O18" s="1558" t="s">
        <v>619</v>
      </c>
      <c r="P18" s="1554" t="s">
        <v>614</v>
      </c>
      <c r="Q18" s="1555"/>
      <c r="R18" s="1563"/>
      <c r="S18" s="1571"/>
      <c r="T18" s="1551"/>
      <c r="U18" s="1552">
        <v>309</v>
      </c>
      <c r="V18" s="1559" t="s">
        <v>613</v>
      </c>
      <c r="W18" s="1561" t="s">
        <v>614</v>
      </c>
    </row>
    <row r="19" spans="1:23" ht="15" customHeight="1" x14ac:dyDescent="0.35">
      <c r="A19" s="1551"/>
      <c r="B19" s="1562"/>
      <c r="C19" s="1556"/>
      <c r="D19" s="1571"/>
      <c r="E19" s="1551"/>
      <c r="F19" s="1568">
        <v>173</v>
      </c>
      <c r="G19" s="1566" t="s">
        <v>613</v>
      </c>
      <c r="H19" s="1570" t="s">
        <v>621</v>
      </c>
      <c r="I19" s="1554">
        <v>197</v>
      </c>
      <c r="J19" s="1553" t="s">
        <v>618</v>
      </c>
      <c r="K19" s="1561" t="s">
        <v>629</v>
      </c>
      <c r="M19" s="1551"/>
      <c r="N19" s="1552">
        <v>230</v>
      </c>
      <c r="O19" s="1559" t="s">
        <v>613</v>
      </c>
      <c r="P19" s="1554" t="s">
        <v>614</v>
      </c>
      <c r="Q19" s="1554">
        <v>275</v>
      </c>
      <c r="R19" s="1559" t="s">
        <v>613</v>
      </c>
      <c r="S19" s="1560" t="s">
        <v>614</v>
      </c>
      <c r="T19" s="1551"/>
      <c r="U19" s="1552">
        <v>310</v>
      </c>
      <c r="V19" s="1559" t="s">
        <v>613</v>
      </c>
      <c r="W19" s="1561" t="s">
        <v>614</v>
      </c>
    </row>
    <row r="20" spans="1:23" ht="15" customHeight="1" x14ac:dyDescent="0.35">
      <c r="A20" s="1551"/>
      <c r="B20" s="1552">
        <v>149</v>
      </c>
      <c r="C20" s="1559" t="s">
        <v>613</v>
      </c>
      <c r="D20" s="1560" t="s">
        <v>630</v>
      </c>
      <c r="E20" s="1551"/>
      <c r="F20" s="1562"/>
      <c r="G20" s="1556"/>
      <c r="H20" s="1572"/>
      <c r="I20" s="1554">
        <v>198</v>
      </c>
      <c r="J20" s="1581" t="s">
        <v>631</v>
      </c>
      <c r="K20" s="1561" t="s">
        <v>614</v>
      </c>
      <c r="M20" s="1551"/>
      <c r="N20" s="1552">
        <v>231</v>
      </c>
      <c r="O20" s="1559" t="s">
        <v>613</v>
      </c>
      <c r="P20" s="1554" t="s">
        <v>614</v>
      </c>
      <c r="Q20" s="1554">
        <v>276</v>
      </c>
      <c r="R20" s="1559" t="s">
        <v>613</v>
      </c>
      <c r="S20" s="1560" t="s">
        <v>614</v>
      </c>
      <c r="T20" s="1551"/>
      <c r="U20" s="1552">
        <v>311</v>
      </c>
      <c r="V20" s="1559" t="s">
        <v>613</v>
      </c>
      <c r="W20" s="1561" t="s">
        <v>614</v>
      </c>
    </row>
    <row r="21" spans="1:23" ht="15" customHeight="1" x14ac:dyDescent="0.35">
      <c r="A21" s="1551"/>
      <c r="B21" s="1568">
        <v>150</v>
      </c>
      <c r="C21" s="1574" t="s">
        <v>611</v>
      </c>
      <c r="D21" s="1575" t="s">
        <v>623</v>
      </c>
      <c r="E21" s="1551"/>
      <c r="F21" s="1568">
        <v>174</v>
      </c>
      <c r="G21" s="1582" t="s">
        <v>632</v>
      </c>
      <c r="H21" s="1570" t="s">
        <v>633</v>
      </c>
      <c r="I21" s="1554">
        <v>199</v>
      </c>
      <c r="J21" s="1581" t="s">
        <v>631</v>
      </c>
      <c r="K21" s="1561" t="s">
        <v>614</v>
      </c>
      <c r="M21" s="1551"/>
      <c r="N21" s="1552">
        <v>232</v>
      </c>
      <c r="O21" s="1559" t="s">
        <v>613</v>
      </c>
      <c r="P21" s="1554" t="s">
        <v>614</v>
      </c>
      <c r="Q21" s="1554">
        <v>277</v>
      </c>
      <c r="R21" s="1559" t="s">
        <v>613</v>
      </c>
      <c r="S21" s="1560" t="s">
        <v>614</v>
      </c>
      <c r="T21" s="1551"/>
      <c r="U21" s="1552">
        <v>312</v>
      </c>
      <c r="V21" s="1559" t="s">
        <v>613</v>
      </c>
      <c r="W21" s="1561" t="s">
        <v>614</v>
      </c>
    </row>
    <row r="22" spans="1:23" ht="15" customHeight="1" x14ac:dyDescent="0.35">
      <c r="A22" s="1551"/>
      <c r="B22" s="1536"/>
      <c r="C22" s="1537"/>
      <c r="D22" s="1538"/>
      <c r="E22" s="1551"/>
      <c r="F22" s="1536"/>
      <c r="G22" s="1583"/>
      <c r="H22" s="1584"/>
      <c r="I22" s="1554">
        <v>200</v>
      </c>
      <c r="J22" s="1559" t="s">
        <v>613</v>
      </c>
      <c r="K22" s="1561" t="s">
        <v>614</v>
      </c>
      <c r="M22" s="1551"/>
      <c r="N22" s="1552">
        <v>233</v>
      </c>
      <c r="O22" s="1559" t="s">
        <v>613</v>
      </c>
      <c r="P22" s="1554" t="s">
        <v>614</v>
      </c>
      <c r="Q22" s="1554">
        <v>278</v>
      </c>
      <c r="R22" s="1559" t="s">
        <v>613</v>
      </c>
      <c r="S22" s="1560" t="s">
        <v>634</v>
      </c>
      <c r="T22" s="1551"/>
      <c r="U22" s="1552">
        <v>313</v>
      </c>
      <c r="V22" s="1559" t="s">
        <v>613</v>
      </c>
      <c r="W22" s="1561" t="s">
        <v>614</v>
      </c>
    </row>
    <row r="23" spans="1:23" ht="15" customHeight="1" x14ac:dyDescent="0.35">
      <c r="A23" s="1551"/>
      <c r="B23" s="1562"/>
      <c r="C23" s="1563"/>
      <c r="D23" s="1564"/>
      <c r="E23" s="1551"/>
      <c r="F23" s="1562"/>
      <c r="G23" s="1585"/>
      <c r="H23" s="1572"/>
      <c r="I23" s="1554">
        <v>201</v>
      </c>
      <c r="J23" s="1559" t="s">
        <v>613</v>
      </c>
      <c r="K23" s="1561" t="s">
        <v>614</v>
      </c>
      <c r="M23" s="1551"/>
      <c r="N23" s="1552">
        <v>234</v>
      </c>
      <c r="O23" s="1559" t="s">
        <v>613</v>
      </c>
      <c r="P23" s="1554" t="s">
        <v>614</v>
      </c>
      <c r="Q23" s="1565">
        <v>279</v>
      </c>
      <c r="R23" s="1574" t="s">
        <v>611</v>
      </c>
      <c r="S23" s="1569" t="s">
        <v>623</v>
      </c>
      <c r="T23" s="1551"/>
      <c r="U23" s="1552">
        <v>314</v>
      </c>
      <c r="V23" s="1586" t="s">
        <v>611</v>
      </c>
      <c r="W23" s="1561" t="s">
        <v>635</v>
      </c>
    </row>
    <row r="24" spans="1:23" ht="15" customHeight="1" x14ac:dyDescent="0.35">
      <c r="A24" s="1551"/>
      <c r="B24" s="1568">
        <v>151</v>
      </c>
      <c r="C24" s="1566" t="s">
        <v>613</v>
      </c>
      <c r="D24" s="1569" t="s">
        <v>621</v>
      </c>
      <c r="E24" s="1551"/>
      <c r="F24" s="1552">
        <v>175</v>
      </c>
      <c r="G24" s="1553" t="s">
        <v>618</v>
      </c>
      <c r="H24" s="1554" t="s">
        <v>614</v>
      </c>
      <c r="I24" s="1554">
        <v>202</v>
      </c>
      <c r="J24" s="1559" t="s">
        <v>613</v>
      </c>
      <c r="K24" s="1561" t="s">
        <v>614</v>
      </c>
      <c r="M24" s="1551"/>
      <c r="N24" s="1552">
        <v>235</v>
      </c>
      <c r="O24" s="1559" t="s">
        <v>613</v>
      </c>
      <c r="P24" s="1554" t="s">
        <v>614</v>
      </c>
      <c r="Q24" s="1542"/>
      <c r="R24" s="1537"/>
      <c r="S24" s="1587"/>
      <c r="T24" s="1551"/>
      <c r="U24" s="1552">
        <v>315</v>
      </c>
      <c r="V24" s="1586" t="s">
        <v>611</v>
      </c>
      <c r="W24" s="1561" t="s">
        <v>635</v>
      </c>
    </row>
    <row r="25" spans="1:23" ht="15.75" thickBot="1" x14ac:dyDescent="0.4">
      <c r="A25" s="1551"/>
      <c r="B25" s="1562"/>
      <c r="C25" s="1556"/>
      <c r="D25" s="1571"/>
      <c r="E25" s="1551"/>
      <c r="F25" s="1552">
        <v>176</v>
      </c>
      <c r="G25" s="1559" t="s">
        <v>613</v>
      </c>
      <c r="H25" s="1554" t="s">
        <v>634</v>
      </c>
      <c r="I25" s="1554">
        <v>203</v>
      </c>
      <c r="J25" s="1559" t="s">
        <v>613</v>
      </c>
      <c r="K25" s="1561" t="s">
        <v>614</v>
      </c>
      <c r="M25" s="1551"/>
      <c r="N25" s="1552">
        <v>236</v>
      </c>
      <c r="O25" s="1559" t="s">
        <v>613</v>
      </c>
      <c r="P25" s="1554" t="s">
        <v>614</v>
      </c>
      <c r="Q25" s="1555"/>
      <c r="R25" s="1563"/>
      <c r="S25" s="1571"/>
      <c r="T25" s="1588"/>
      <c r="U25" s="1589">
        <v>316</v>
      </c>
      <c r="V25" s="1590" t="s">
        <v>613</v>
      </c>
      <c r="W25" s="1591" t="s">
        <v>614</v>
      </c>
    </row>
    <row r="26" spans="1:23" ht="15" customHeight="1" x14ac:dyDescent="0.35">
      <c r="A26" s="1551"/>
      <c r="B26" s="1568">
        <v>152</v>
      </c>
      <c r="C26" s="1574" t="s">
        <v>611</v>
      </c>
      <c r="D26" s="1575" t="s">
        <v>623</v>
      </c>
      <c r="E26" s="1551"/>
      <c r="F26" s="1552">
        <v>177</v>
      </c>
      <c r="G26" s="1553" t="s">
        <v>618</v>
      </c>
      <c r="H26" s="1554" t="s">
        <v>614</v>
      </c>
      <c r="I26" s="1554">
        <v>204</v>
      </c>
      <c r="J26" s="1553" t="s">
        <v>618</v>
      </c>
      <c r="K26" s="1561" t="s">
        <v>614</v>
      </c>
      <c r="M26" s="1551"/>
      <c r="N26" s="1552">
        <v>237</v>
      </c>
      <c r="O26" s="1559" t="s">
        <v>613</v>
      </c>
      <c r="P26" s="1554" t="s">
        <v>614</v>
      </c>
      <c r="Q26" s="1565">
        <v>280</v>
      </c>
      <c r="R26" s="1574" t="s">
        <v>611</v>
      </c>
      <c r="S26" s="1567" t="s">
        <v>623</v>
      </c>
    </row>
    <row r="27" spans="1:23" ht="15" customHeight="1" x14ac:dyDescent="0.35">
      <c r="A27" s="1551"/>
      <c r="B27" s="1536"/>
      <c r="C27" s="1537"/>
      <c r="D27" s="1538"/>
      <c r="E27" s="1551"/>
      <c r="F27" s="1552">
        <v>178</v>
      </c>
      <c r="G27" s="1559" t="s">
        <v>613</v>
      </c>
      <c r="H27" s="1554" t="s">
        <v>634</v>
      </c>
      <c r="I27" s="1554">
        <v>205</v>
      </c>
      <c r="J27" s="1553" t="s">
        <v>618</v>
      </c>
      <c r="K27" s="1561" t="s">
        <v>614</v>
      </c>
      <c r="M27" s="1551"/>
      <c r="N27" s="1552">
        <v>238</v>
      </c>
      <c r="O27" s="1559" t="s">
        <v>613</v>
      </c>
      <c r="P27" s="1554" t="s">
        <v>614</v>
      </c>
      <c r="Q27" s="1542"/>
      <c r="R27" s="1537"/>
      <c r="S27" s="1544"/>
    </row>
    <row r="28" spans="1:23" ht="15" customHeight="1" x14ac:dyDescent="0.35">
      <c r="A28" s="1551"/>
      <c r="B28" s="1562"/>
      <c r="C28" s="1563"/>
      <c r="D28" s="1564"/>
      <c r="E28" s="1551"/>
      <c r="F28" s="1552">
        <v>179</v>
      </c>
      <c r="G28" s="1553" t="s">
        <v>618</v>
      </c>
      <c r="H28" s="1554" t="s">
        <v>614</v>
      </c>
      <c r="I28" s="1554">
        <v>206</v>
      </c>
      <c r="J28" s="1559" t="s">
        <v>613</v>
      </c>
      <c r="K28" s="1561" t="s">
        <v>614</v>
      </c>
      <c r="M28" s="1551"/>
      <c r="N28" s="1552">
        <v>239</v>
      </c>
      <c r="O28" s="1559" t="s">
        <v>613</v>
      </c>
      <c r="P28" s="1554" t="s">
        <v>614</v>
      </c>
      <c r="Q28" s="1555"/>
      <c r="R28" s="1563"/>
      <c r="S28" s="1557"/>
    </row>
    <row r="29" spans="1:23" ht="15" customHeight="1" x14ac:dyDescent="0.35">
      <c r="A29" s="1551"/>
      <c r="B29" s="1568">
        <v>153</v>
      </c>
      <c r="C29" s="1566" t="s">
        <v>613</v>
      </c>
      <c r="D29" s="1569" t="s">
        <v>621</v>
      </c>
      <c r="E29" s="1551"/>
      <c r="F29" s="1552">
        <v>180</v>
      </c>
      <c r="G29" s="1559" t="s">
        <v>613</v>
      </c>
      <c r="H29" s="1554" t="s">
        <v>634</v>
      </c>
      <c r="I29" s="1554">
        <v>207</v>
      </c>
      <c r="J29" s="1553" t="s">
        <v>618</v>
      </c>
      <c r="K29" s="1561" t="s">
        <v>629</v>
      </c>
      <c r="M29" s="1551"/>
      <c r="N29" s="1552">
        <v>240</v>
      </c>
      <c r="O29" s="1559" t="s">
        <v>613</v>
      </c>
      <c r="P29" s="1554" t="s">
        <v>614</v>
      </c>
      <c r="Q29" s="1554">
        <v>281</v>
      </c>
      <c r="R29" s="1559" t="s">
        <v>613</v>
      </c>
      <c r="S29" s="1561" t="s">
        <v>614</v>
      </c>
    </row>
    <row r="30" spans="1:23" ht="15" customHeight="1" x14ac:dyDescent="0.35">
      <c r="A30" s="1551"/>
      <c r="B30" s="1562"/>
      <c r="C30" s="1556"/>
      <c r="D30" s="1571"/>
      <c r="E30" s="1551"/>
      <c r="F30" s="1552">
        <v>181</v>
      </c>
      <c r="G30" s="1559" t="s">
        <v>613</v>
      </c>
      <c r="H30" s="1554" t="s">
        <v>634</v>
      </c>
      <c r="I30" s="1554">
        <v>208</v>
      </c>
      <c r="J30" s="1581" t="s">
        <v>631</v>
      </c>
      <c r="K30" s="1561" t="s">
        <v>614</v>
      </c>
      <c r="M30" s="1551"/>
      <c r="N30" s="1552">
        <v>241</v>
      </c>
      <c r="O30" s="1579" t="s">
        <v>627</v>
      </c>
      <c r="P30" s="1554" t="s">
        <v>614</v>
      </c>
      <c r="Q30" s="1554">
        <v>282</v>
      </c>
      <c r="R30" s="1559" t="s">
        <v>613</v>
      </c>
      <c r="S30" s="1561" t="s">
        <v>614</v>
      </c>
    </row>
    <row r="31" spans="1:23" ht="15" customHeight="1" x14ac:dyDescent="0.35">
      <c r="A31" s="1551"/>
      <c r="B31" s="1568">
        <v>154</v>
      </c>
      <c r="C31" s="1574" t="s">
        <v>611</v>
      </c>
      <c r="D31" s="1575" t="s">
        <v>623</v>
      </c>
      <c r="E31" s="1551"/>
      <c r="F31" s="1568">
        <v>182</v>
      </c>
      <c r="G31" s="1576" t="s">
        <v>618</v>
      </c>
      <c r="H31" s="1570" t="s">
        <v>636</v>
      </c>
      <c r="I31" s="1554">
        <v>209</v>
      </c>
      <c r="J31" s="1581" t="s">
        <v>631</v>
      </c>
      <c r="K31" s="1561" t="s">
        <v>614</v>
      </c>
      <c r="M31" s="1551"/>
      <c r="N31" s="1552">
        <v>242</v>
      </c>
      <c r="O31" s="1559" t="s">
        <v>613</v>
      </c>
      <c r="P31" s="1554" t="s">
        <v>614</v>
      </c>
      <c r="Q31" s="1554">
        <v>283</v>
      </c>
      <c r="R31" s="1559" t="s">
        <v>613</v>
      </c>
      <c r="S31" s="1561" t="s">
        <v>614</v>
      </c>
    </row>
    <row r="32" spans="1:23" ht="15" customHeight="1" x14ac:dyDescent="0.35">
      <c r="A32" s="1551"/>
      <c r="B32" s="1536"/>
      <c r="C32" s="1537"/>
      <c r="D32" s="1538"/>
      <c r="E32" s="1551"/>
      <c r="F32" s="1562"/>
      <c r="G32" s="1578"/>
      <c r="H32" s="1572"/>
      <c r="I32" s="1554">
        <v>210</v>
      </c>
      <c r="J32" s="1553" t="s">
        <v>618</v>
      </c>
      <c r="K32" s="1561" t="s">
        <v>614</v>
      </c>
      <c r="M32" s="1551"/>
      <c r="N32" s="1552">
        <v>243</v>
      </c>
      <c r="O32" s="1559" t="s">
        <v>613</v>
      </c>
      <c r="P32" s="1554" t="s">
        <v>614</v>
      </c>
      <c r="Q32" s="1554">
        <v>284</v>
      </c>
      <c r="R32" s="1559" t="s">
        <v>613</v>
      </c>
      <c r="S32" s="1561" t="s">
        <v>614</v>
      </c>
    </row>
    <row r="33" spans="1:19" ht="15" customHeight="1" x14ac:dyDescent="0.35">
      <c r="A33" s="1551"/>
      <c r="B33" s="1536"/>
      <c r="C33" s="1563"/>
      <c r="D33" s="1564"/>
      <c r="E33" s="1551"/>
      <c r="F33" s="1552">
        <v>183</v>
      </c>
      <c r="G33" s="1579" t="s">
        <v>627</v>
      </c>
      <c r="H33" s="1554" t="s">
        <v>614</v>
      </c>
      <c r="I33" s="1554">
        <v>211</v>
      </c>
      <c r="J33" s="1559" t="s">
        <v>613</v>
      </c>
      <c r="K33" s="1561" t="s">
        <v>614</v>
      </c>
      <c r="M33" s="1551"/>
      <c r="N33" s="1552">
        <v>244</v>
      </c>
      <c r="O33" s="1559" t="s">
        <v>613</v>
      </c>
      <c r="P33" s="1554" t="s">
        <v>614</v>
      </c>
      <c r="Q33" s="1554">
        <v>285</v>
      </c>
      <c r="R33" s="1592" t="s">
        <v>637</v>
      </c>
      <c r="S33" s="1561" t="s">
        <v>614</v>
      </c>
    </row>
    <row r="34" spans="1:19" ht="15" customHeight="1" x14ac:dyDescent="0.35">
      <c r="A34" s="1551"/>
      <c r="B34" s="1568">
        <v>155</v>
      </c>
      <c r="C34" s="1566" t="s">
        <v>613</v>
      </c>
      <c r="D34" s="1569" t="s">
        <v>621</v>
      </c>
      <c r="E34" s="1551"/>
      <c r="F34" s="1552">
        <v>184</v>
      </c>
      <c r="G34" s="1553" t="s">
        <v>618</v>
      </c>
      <c r="H34" s="1554" t="s">
        <v>614</v>
      </c>
      <c r="I34" s="1554">
        <v>212</v>
      </c>
      <c r="J34" s="1581" t="s">
        <v>631</v>
      </c>
      <c r="K34" s="1561" t="s">
        <v>638</v>
      </c>
      <c r="M34" s="1551"/>
      <c r="N34" s="1552">
        <v>245</v>
      </c>
      <c r="O34" s="1559" t="s">
        <v>613</v>
      </c>
      <c r="P34" s="1554" t="s">
        <v>614</v>
      </c>
      <c r="Q34" s="1554">
        <v>286</v>
      </c>
      <c r="R34" s="1592" t="s">
        <v>637</v>
      </c>
      <c r="S34" s="1561" t="s">
        <v>614</v>
      </c>
    </row>
    <row r="35" spans="1:19" ht="15" customHeight="1" x14ac:dyDescent="0.35">
      <c r="A35" s="1551"/>
      <c r="B35" s="1562"/>
      <c r="C35" s="1543"/>
      <c r="D35" s="1571"/>
      <c r="E35" s="1551"/>
      <c r="F35" s="1552">
        <v>185</v>
      </c>
      <c r="G35" s="1559" t="s">
        <v>613</v>
      </c>
      <c r="H35" s="1554" t="s">
        <v>614</v>
      </c>
      <c r="I35" s="1554" t="s">
        <v>117</v>
      </c>
      <c r="J35" s="1581" t="s">
        <v>631</v>
      </c>
      <c r="K35" s="1561" t="s">
        <v>614</v>
      </c>
      <c r="M35" s="1551"/>
      <c r="N35" s="1552">
        <v>246</v>
      </c>
      <c r="O35" s="1559" t="s">
        <v>613</v>
      </c>
      <c r="P35" s="1554" t="s">
        <v>614</v>
      </c>
      <c r="Q35" s="1593">
        <v>287</v>
      </c>
      <c r="R35" s="1559" t="s">
        <v>613</v>
      </c>
      <c r="S35" s="1561" t="s">
        <v>614</v>
      </c>
    </row>
    <row r="36" spans="1:19" ht="15" customHeight="1" x14ac:dyDescent="0.35">
      <c r="A36" s="1551"/>
      <c r="B36" s="1568">
        <v>156</v>
      </c>
      <c r="C36" s="1566" t="s">
        <v>613</v>
      </c>
      <c r="D36" s="1594" t="s">
        <v>639</v>
      </c>
      <c r="E36" s="1551"/>
      <c r="F36" s="1552">
        <v>186</v>
      </c>
      <c r="G36" s="1553" t="s">
        <v>618</v>
      </c>
      <c r="H36" s="1554" t="s">
        <v>640</v>
      </c>
      <c r="I36" s="1554">
        <v>213</v>
      </c>
      <c r="J36" s="1553" t="s">
        <v>618</v>
      </c>
      <c r="K36" s="1561" t="s">
        <v>614</v>
      </c>
      <c r="M36" s="1551"/>
      <c r="N36" s="1552">
        <v>248</v>
      </c>
      <c r="O36" s="1559" t="s">
        <v>613</v>
      </c>
      <c r="P36" s="1554" t="s">
        <v>614</v>
      </c>
      <c r="Q36" s="1554">
        <v>288</v>
      </c>
      <c r="R36" s="1559" t="s">
        <v>613</v>
      </c>
      <c r="S36" s="1561" t="s">
        <v>614</v>
      </c>
    </row>
    <row r="37" spans="1:19" ht="15" customHeight="1" x14ac:dyDescent="0.35">
      <c r="A37" s="1551"/>
      <c r="B37" s="1562"/>
      <c r="C37" s="1556"/>
      <c r="D37" s="1595"/>
      <c r="E37" s="1551"/>
      <c r="F37" s="1552">
        <v>187</v>
      </c>
      <c r="G37" s="1581" t="s">
        <v>631</v>
      </c>
      <c r="H37" s="1554" t="s">
        <v>614</v>
      </c>
      <c r="I37" s="1554">
        <v>214</v>
      </c>
      <c r="J37" s="1553" t="s">
        <v>618</v>
      </c>
      <c r="K37" s="1561" t="s">
        <v>614</v>
      </c>
      <c r="M37" s="1551"/>
      <c r="N37" s="1552">
        <v>249</v>
      </c>
      <c r="O37" s="1559" t="s">
        <v>613</v>
      </c>
      <c r="P37" s="1554" t="s">
        <v>614</v>
      </c>
      <c r="Q37" s="1565">
        <v>289</v>
      </c>
      <c r="R37" s="1596" t="s">
        <v>631</v>
      </c>
      <c r="S37" s="1570" t="s">
        <v>641</v>
      </c>
    </row>
    <row r="38" spans="1:19" ht="15" customHeight="1" thickBot="1" x14ac:dyDescent="0.4">
      <c r="A38" s="1551"/>
      <c r="B38" s="1568">
        <v>157</v>
      </c>
      <c r="C38" s="1577" t="s">
        <v>618</v>
      </c>
      <c r="D38" s="1569" t="s">
        <v>642</v>
      </c>
      <c r="E38" s="1588"/>
      <c r="F38" s="1589">
        <v>188</v>
      </c>
      <c r="G38" s="1597" t="s">
        <v>631</v>
      </c>
      <c r="H38" s="1598" t="s">
        <v>614</v>
      </c>
      <c r="I38" s="1598">
        <v>215</v>
      </c>
      <c r="J38" s="1597" t="s">
        <v>631</v>
      </c>
      <c r="K38" s="1591" t="s">
        <v>638</v>
      </c>
      <c r="M38" s="1551"/>
      <c r="N38" s="1552">
        <v>250</v>
      </c>
      <c r="O38" s="1559" t="s">
        <v>613</v>
      </c>
      <c r="P38" s="1554" t="s">
        <v>614</v>
      </c>
      <c r="Q38" s="1555"/>
      <c r="R38" s="1599"/>
      <c r="S38" s="1572"/>
    </row>
    <row r="39" spans="1:19" ht="15" customHeight="1" x14ac:dyDescent="0.35">
      <c r="A39" s="1551"/>
      <c r="B39" s="1536"/>
      <c r="C39" s="1577"/>
      <c r="D39" s="1587"/>
      <c r="E39" s="1600"/>
      <c r="F39" s="1512"/>
      <c r="G39" s="1512"/>
      <c r="H39" s="1512"/>
      <c r="I39" s="1512"/>
      <c r="J39" s="1512"/>
      <c r="K39" s="1512"/>
      <c r="M39" s="1551"/>
      <c r="N39" s="1552">
        <v>251</v>
      </c>
      <c r="O39" s="1559" t="s">
        <v>613</v>
      </c>
      <c r="P39" s="1554" t="s">
        <v>614</v>
      </c>
      <c r="Q39" s="1554">
        <v>290</v>
      </c>
      <c r="R39" s="1559" t="s">
        <v>613</v>
      </c>
      <c r="S39" s="1561" t="s">
        <v>614</v>
      </c>
    </row>
    <row r="40" spans="1:19" ht="15" customHeight="1" x14ac:dyDescent="0.35">
      <c r="A40" s="1551"/>
      <c r="B40" s="1562"/>
      <c r="C40" s="1578"/>
      <c r="D40" s="1571"/>
      <c r="E40" s="1601"/>
      <c r="M40" s="1551"/>
      <c r="N40" s="1552">
        <v>252</v>
      </c>
      <c r="O40" s="1559" t="s">
        <v>613</v>
      </c>
      <c r="P40" s="1554" t="s">
        <v>614</v>
      </c>
      <c r="Q40" s="1554">
        <v>291</v>
      </c>
      <c r="R40" s="1559" t="s">
        <v>613</v>
      </c>
      <c r="S40" s="1561" t="s">
        <v>614</v>
      </c>
    </row>
    <row r="41" spans="1:19" ht="15" customHeight="1" x14ac:dyDescent="0.35">
      <c r="A41" s="1551"/>
      <c r="B41" s="1539">
        <v>158</v>
      </c>
      <c r="C41" s="1554" t="s">
        <v>614</v>
      </c>
      <c r="D41" s="1560" t="s">
        <v>620</v>
      </c>
      <c r="E41" s="1601"/>
      <c r="M41" s="1551"/>
      <c r="N41" s="1602">
        <v>253</v>
      </c>
      <c r="O41" s="1559" t="s">
        <v>613</v>
      </c>
      <c r="P41" s="1554" t="s">
        <v>614</v>
      </c>
      <c r="Q41" s="1603">
        <v>292</v>
      </c>
      <c r="R41" s="1596" t="s">
        <v>631</v>
      </c>
      <c r="S41" s="1570" t="s">
        <v>641</v>
      </c>
    </row>
    <row r="42" spans="1:19" ht="15" customHeight="1" x14ac:dyDescent="0.35">
      <c r="A42" s="1551"/>
      <c r="B42" s="1539">
        <v>159</v>
      </c>
      <c r="C42" s="1559" t="s">
        <v>613</v>
      </c>
      <c r="D42" s="1548" t="s">
        <v>643</v>
      </c>
      <c r="E42" s="1604"/>
      <c r="M42" s="1551"/>
      <c r="N42" s="1552">
        <v>254</v>
      </c>
      <c r="O42" s="1559" t="s">
        <v>613</v>
      </c>
      <c r="P42" s="1554" t="s">
        <v>614</v>
      </c>
      <c r="Q42" s="1541"/>
      <c r="R42" s="1599"/>
      <c r="S42" s="1572"/>
    </row>
    <row r="43" spans="1:19" ht="15" customHeight="1" x14ac:dyDescent="0.35">
      <c r="A43" s="1551"/>
      <c r="B43" s="1568">
        <v>160</v>
      </c>
      <c r="C43" s="1543" t="s">
        <v>613</v>
      </c>
      <c r="D43" s="1569" t="s">
        <v>644</v>
      </c>
      <c r="E43" s="1604"/>
      <c r="M43" s="1551"/>
      <c r="N43" s="1552">
        <v>255</v>
      </c>
      <c r="O43" s="1559" t="s">
        <v>613</v>
      </c>
      <c r="P43" s="1554" t="s">
        <v>614</v>
      </c>
      <c r="Q43" s="1603">
        <v>293</v>
      </c>
      <c r="R43" s="1596" t="s">
        <v>631</v>
      </c>
      <c r="S43" s="1570" t="s">
        <v>641</v>
      </c>
    </row>
    <row r="44" spans="1:19" ht="15" customHeight="1" x14ac:dyDescent="0.35">
      <c r="A44" s="1551"/>
      <c r="B44" s="1562"/>
      <c r="C44" s="1556"/>
      <c r="D44" s="1571"/>
      <c r="E44" s="1604"/>
      <c r="M44" s="1551"/>
      <c r="N44" s="1552">
        <v>256</v>
      </c>
      <c r="O44" s="1559" t="s">
        <v>613</v>
      </c>
      <c r="P44" s="1554" t="s">
        <v>614</v>
      </c>
      <c r="Q44" s="1541"/>
      <c r="R44" s="1599"/>
      <c r="S44" s="1572"/>
    </row>
    <row r="45" spans="1:19" ht="15" customHeight="1" x14ac:dyDescent="0.35">
      <c r="A45" s="1551"/>
      <c r="B45" s="1568">
        <v>161</v>
      </c>
      <c r="C45" s="1566" t="s">
        <v>613</v>
      </c>
      <c r="D45" s="1569" t="s">
        <v>644</v>
      </c>
      <c r="E45" s="1604"/>
      <c r="M45" s="1551"/>
      <c r="N45" s="1552">
        <v>257</v>
      </c>
      <c r="O45" s="1559" t="s">
        <v>613</v>
      </c>
      <c r="P45" s="1554" t="s">
        <v>614</v>
      </c>
      <c r="Q45" s="1554">
        <v>294</v>
      </c>
      <c r="R45" s="1559" t="s">
        <v>613</v>
      </c>
      <c r="S45" s="1561" t="s">
        <v>614</v>
      </c>
    </row>
    <row r="46" spans="1:19" ht="15" customHeight="1" x14ac:dyDescent="0.35">
      <c r="A46" s="1551"/>
      <c r="B46" s="1562"/>
      <c r="C46" s="1556"/>
      <c r="D46" s="1571"/>
      <c r="E46" s="1604"/>
      <c r="L46" s="1512"/>
      <c r="M46" s="1551"/>
      <c r="N46" s="1552">
        <v>258</v>
      </c>
      <c r="O46" s="1559" t="s">
        <v>613</v>
      </c>
      <c r="P46" s="1554" t="s">
        <v>614</v>
      </c>
      <c r="Q46" s="1554">
        <v>295</v>
      </c>
      <c r="R46" s="1559" t="s">
        <v>613</v>
      </c>
      <c r="S46" s="1561" t="s">
        <v>614</v>
      </c>
    </row>
    <row r="47" spans="1:19" ht="15" customHeight="1" thickBot="1" x14ac:dyDescent="0.4">
      <c r="A47" s="1588"/>
      <c r="B47" s="1589">
        <v>162</v>
      </c>
      <c r="C47" s="1590" t="s">
        <v>613</v>
      </c>
      <c r="D47" s="1598" t="s">
        <v>645</v>
      </c>
      <c r="E47" s="1604"/>
      <c r="K47" s="1512"/>
      <c r="L47" s="1512"/>
      <c r="M47" s="1551"/>
      <c r="N47" s="1552">
        <v>259</v>
      </c>
      <c r="O47" s="1559" t="s">
        <v>613</v>
      </c>
      <c r="P47" s="1554" t="s">
        <v>614</v>
      </c>
      <c r="Q47" s="1603">
        <v>296</v>
      </c>
      <c r="R47" s="1596" t="s">
        <v>631</v>
      </c>
      <c r="S47" s="1570" t="s">
        <v>641</v>
      </c>
    </row>
    <row r="48" spans="1:19" ht="15" customHeight="1" x14ac:dyDescent="0.35">
      <c r="K48" s="1512"/>
      <c r="L48" s="1512"/>
      <c r="M48" s="1551"/>
      <c r="N48" s="1552">
        <v>260</v>
      </c>
      <c r="O48" s="1553" t="s">
        <v>618</v>
      </c>
      <c r="P48" s="1554" t="s">
        <v>614</v>
      </c>
      <c r="Q48" s="1541"/>
      <c r="R48" s="1599"/>
      <c r="S48" s="1572"/>
    </row>
    <row r="49" spans="11:32" ht="15" customHeight="1" thickBot="1" x14ac:dyDescent="0.4">
      <c r="K49" s="1512"/>
      <c r="L49" s="1512"/>
      <c r="M49" s="1588"/>
      <c r="N49" s="1589">
        <v>261</v>
      </c>
      <c r="O49" s="1590" t="s">
        <v>613</v>
      </c>
      <c r="P49" s="1598" t="s">
        <v>614</v>
      </c>
      <c r="Q49" s="1598">
        <v>297</v>
      </c>
      <c r="R49" s="1590" t="s">
        <v>613</v>
      </c>
      <c r="S49" s="1591" t="s">
        <v>614</v>
      </c>
    </row>
    <row r="50" spans="11:32" ht="15" customHeight="1" x14ac:dyDescent="0.35">
      <c r="K50" s="1512"/>
      <c r="L50" s="1512"/>
      <c r="M50" s="1605"/>
    </row>
    <row r="51" spans="11:32" ht="15" customHeight="1" x14ac:dyDescent="0.35">
      <c r="K51" s="1512"/>
      <c r="L51" s="1512"/>
      <c r="M51" s="1512"/>
      <c r="N51" s="1512"/>
      <c r="O51" s="1512"/>
      <c r="P51" s="1512"/>
    </row>
    <row r="52" spans="11:32" x14ac:dyDescent="0.35">
      <c r="K52" s="1512"/>
      <c r="L52" s="1512"/>
      <c r="M52" s="1512"/>
      <c r="N52" s="1512"/>
      <c r="O52" s="1512"/>
      <c r="P52" s="1512"/>
    </row>
    <row r="53" spans="11:32" x14ac:dyDescent="0.35">
      <c r="K53" s="1512"/>
      <c r="L53" s="1512"/>
      <c r="M53" s="1512"/>
      <c r="N53" s="1512"/>
      <c r="O53" s="1512"/>
      <c r="P53" s="1512"/>
    </row>
    <row r="54" spans="11:32" x14ac:dyDescent="0.35">
      <c r="K54" s="1512"/>
      <c r="L54" s="1512"/>
      <c r="M54" s="1512"/>
      <c r="N54" s="1512"/>
      <c r="O54" s="1512"/>
      <c r="P54" s="1512"/>
    </row>
    <row r="55" spans="11:32" x14ac:dyDescent="0.35">
      <c r="K55" s="1512"/>
      <c r="L55" s="1512"/>
      <c r="M55" s="1512"/>
      <c r="N55" s="1512"/>
      <c r="O55" s="1512"/>
      <c r="P55" s="1512"/>
    </row>
    <row r="56" spans="11:32" x14ac:dyDescent="0.35">
      <c r="K56" s="1512"/>
      <c r="L56" s="1512"/>
      <c r="M56" s="1512"/>
      <c r="N56" s="1512"/>
      <c r="O56" s="1512"/>
      <c r="P56" s="1512"/>
    </row>
    <row r="57" spans="11:32" x14ac:dyDescent="0.35">
      <c r="K57" s="1512"/>
      <c r="L57" s="1512"/>
      <c r="M57" s="1512"/>
      <c r="N57" s="1512"/>
      <c r="O57" s="1512"/>
      <c r="P57" s="1512"/>
    </row>
    <row r="58" spans="11:32" x14ac:dyDescent="0.35">
      <c r="K58" s="1512"/>
      <c r="L58" s="1512"/>
      <c r="M58" s="1512"/>
      <c r="N58" s="1512"/>
      <c r="O58" s="1512"/>
      <c r="P58" s="1512"/>
    </row>
    <row r="59" spans="11:32" ht="15.75" thickBot="1" x14ac:dyDescent="0.4">
      <c r="K59" s="1512"/>
      <c r="L59" s="1512"/>
      <c r="M59" s="1512"/>
      <c r="N59" s="1512"/>
      <c r="O59" s="1512"/>
      <c r="P59" s="1512"/>
      <c r="U59" s="1402" t="s">
        <v>646</v>
      </c>
    </row>
    <row r="60" spans="11:32" x14ac:dyDescent="0.35">
      <c r="K60" s="1512"/>
      <c r="L60" s="1512"/>
      <c r="M60" s="1512"/>
      <c r="N60" s="1512"/>
      <c r="O60" s="1512"/>
      <c r="P60" s="1512"/>
      <c r="V60" s="1606" t="s">
        <v>647</v>
      </c>
      <c r="W60" s="1607"/>
      <c r="X60" s="1608" t="s">
        <v>96</v>
      </c>
      <c r="Y60" s="1609"/>
      <c r="Z60" s="1609"/>
      <c r="AA60" s="1609"/>
      <c r="AB60" s="1609"/>
      <c r="AC60" s="1609"/>
      <c r="AD60" s="1609"/>
      <c r="AE60" s="1609"/>
      <c r="AF60" s="1610"/>
    </row>
    <row r="61" spans="11:32" ht="15.75" thickBot="1" x14ac:dyDescent="0.4">
      <c r="K61" s="1512"/>
      <c r="L61" s="1512"/>
      <c r="M61" s="1512"/>
      <c r="N61" s="1512"/>
      <c r="O61" s="1512"/>
      <c r="P61" s="1512"/>
      <c r="V61" s="1611"/>
      <c r="W61" s="1612"/>
      <c r="X61" s="1613"/>
      <c r="Y61" s="1614"/>
      <c r="Z61" s="1614"/>
      <c r="AA61" s="1614"/>
      <c r="AB61" s="1614"/>
      <c r="AC61" s="1614"/>
      <c r="AD61" s="1614"/>
      <c r="AE61" s="1614"/>
      <c r="AF61" s="1615"/>
    </row>
    <row r="62" spans="11:32" x14ac:dyDescent="0.35">
      <c r="K62" s="1512"/>
      <c r="L62" s="1512"/>
      <c r="M62" s="1512"/>
      <c r="N62" s="1512"/>
      <c r="O62" s="1512"/>
      <c r="P62" s="1512"/>
      <c r="V62" s="1611"/>
      <c r="W62" s="1612"/>
      <c r="X62" s="1616" t="s">
        <v>648</v>
      </c>
      <c r="Y62" s="1617"/>
      <c r="Z62" s="1617"/>
      <c r="AA62" s="1617"/>
      <c r="AB62" s="1617"/>
      <c r="AC62" s="1617"/>
      <c r="AD62" s="1617"/>
      <c r="AE62" s="1618"/>
      <c r="AF62" s="1619" t="s">
        <v>296</v>
      </c>
    </row>
    <row r="63" spans="11:32" ht="15.75" thickBot="1" x14ac:dyDescent="0.4">
      <c r="K63" s="1512"/>
      <c r="L63" s="1512"/>
      <c r="M63" s="1512"/>
      <c r="N63" s="1512"/>
      <c r="O63" s="1512"/>
      <c r="P63" s="1512"/>
      <c r="V63" s="1620"/>
      <c r="W63" s="1621"/>
      <c r="X63" s="1622"/>
      <c r="Y63" s="1623"/>
      <c r="Z63" s="1623"/>
      <c r="AA63" s="1623"/>
      <c r="AB63" s="1623"/>
      <c r="AC63" s="1623"/>
      <c r="AD63" s="1623"/>
      <c r="AE63" s="1624"/>
      <c r="AF63" s="1619"/>
    </row>
    <row r="64" spans="11:32" ht="15.75" thickBot="1" x14ac:dyDescent="0.4">
      <c r="K64" s="1512"/>
      <c r="L64" s="1512"/>
      <c r="M64" s="1512"/>
      <c r="N64" s="1512"/>
      <c r="O64" s="1512"/>
      <c r="P64" s="1512"/>
      <c r="U64" s="1625"/>
      <c r="V64" s="1626" t="s">
        <v>649</v>
      </c>
      <c r="W64" s="1627"/>
      <c r="X64" s="1628" t="s">
        <v>25</v>
      </c>
      <c r="Y64" s="1629"/>
      <c r="Z64" s="1628" t="s">
        <v>26</v>
      </c>
      <c r="AA64" s="1630"/>
      <c r="AB64" s="1628" t="s">
        <v>650</v>
      </c>
      <c r="AC64" s="1630"/>
      <c r="AD64" s="1628" t="s">
        <v>651</v>
      </c>
      <c r="AE64" s="1630"/>
      <c r="AF64" s="1631"/>
    </row>
    <row r="65" spans="11:32" ht="15.75" thickBot="1" x14ac:dyDescent="0.4">
      <c r="K65" s="1512"/>
      <c r="L65" s="1512"/>
      <c r="M65" s="1512"/>
      <c r="N65" s="1512"/>
      <c r="O65" s="1512"/>
      <c r="P65" s="1512"/>
      <c r="U65" s="1625"/>
      <c r="V65" s="1632"/>
      <c r="W65" s="1633" t="s">
        <v>652</v>
      </c>
      <c r="X65" s="1634">
        <f>COUNTIF(C5:C47,"Bespoke")</f>
        <v>0</v>
      </c>
      <c r="Y65" s="1635"/>
      <c r="Z65" s="1634">
        <f>COUNTIF(G5:G38,"Bespoke")+COUNTIF(J5:J38,"Bespoke")</f>
        <v>1</v>
      </c>
      <c r="AA65" s="1635"/>
      <c r="AB65" s="1634">
        <f>COUNTIF(O5:O49,"Bespoke")+COUNTIF(R5:R49,"Bespoke")</f>
        <v>1</v>
      </c>
      <c r="AC65" s="1635"/>
      <c r="AD65" s="1634">
        <f>COUNTIF(V5:V25,"Bespoke")</f>
        <v>1</v>
      </c>
      <c r="AE65" s="1635"/>
      <c r="AF65" s="1636">
        <f t="shared" ref="AF65:AF72" si="0">SUM(X65:AE65)</f>
        <v>3</v>
      </c>
    </row>
    <row r="66" spans="11:32" x14ac:dyDescent="0.35">
      <c r="K66" s="1512"/>
      <c r="L66" s="1512"/>
      <c r="M66" s="1512"/>
      <c r="N66" s="1512"/>
      <c r="O66" s="1512"/>
      <c r="P66" s="1512"/>
      <c r="V66" s="1520" t="s">
        <v>653</v>
      </c>
      <c r="W66" s="1637" t="s">
        <v>618</v>
      </c>
      <c r="X66" s="1638">
        <f>COUNTIF(C5:C47,"M1")</f>
        <v>1</v>
      </c>
      <c r="Y66" s="1639"/>
      <c r="Z66" s="1640">
        <f>COUNTIF(G5:G38,"M1")+COUNTIF(J5:J38,"M1")</f>
        <v>15</v>
      </c>
      <c r="AA66" s="1639"/>
      <c r="AB66" s="1640">
        <f>COUNTIF(O5:O49,"M1")+COUNTIF(R5:R49,"M1")</f>
        <v>3</v>
      </c>
      <c r="AC66" s="1639"/>
      <c r="AD66" s="1640">
        <f>COUNTIF(V5:V25,"M1")</f>
        <v>1</v>
      </c>
      <c r="AE66" s="1641"/>
      <c r="AF66" s="1642">
        <f t="shared" si="0"/>
        <v>20</v>
      </c>
    </row>
    <row r="67" spans="11:32" x14ac:dyDescent="0.35">
      <c r="K67" s="1512"/>
      <c r="L67" s="1512"/>
      <c r="M67" s="1512"/>
      <c r="N67" s="1512"/>
      <c r="O67" s="1512"/>
      <c r="P67" s="1512"/>
      <c r="V67" s="1643"/>
      <c r="W67" s="1644" t="s">
        <v>613</v>
      </c>
      <c r="X67" s="1645">
        <f>COUNTIF(C5:C47,"M1.1")</f>
        <v>12</v>
      </c>
      <c r="Y67" s="1646"/>
      <c r="Z67" s="1647">
        <f>COUNTIF(G5:G38,"M1.1")+COUNTIF(J5:J38,"M1.1")</f>
        <v>26</v>
      </c>
      <c r="AA67" s="1646"/>
      <c r="AB67" s="1647">
        <f>COUNTIF(O5:O49,"M1.1")+COUNTIF(R5:R49,"M1.1")</f>
        <v>66</v>
      </c>
      <c r="AC67" s="1646"/>
      <c r="AD67" s="1647">
        <f>COUNTIF(V5:V25,"M1.1")</f>
        <v>13</v>
      </c>
      <c r="AE67" s="1648"/>
      <c r="AF67" s="1649">
        <f t="shared" si="0"/>
        <v>117</v>
      </c>
    </row>
    <row r="68" spans="11:32" ht="15.75" thickBot="1" x14ac:dyDescent="0.4">
      <c r="K68" s="1512"/>
      <c r="L68" s="1512"/>
      <c r="M68" s="1512"/>
      <c r="N68" s="1512"/>
      <c r="O68" s="1512"/>
      <c r="P68" s="1512"/>
      <c r="V68" s="1643"/>
      <c r="W68" s="1650" t="s">
        <v>631</v>
      </c>
      <c r="X68" s="1651">
        <f>COUNTIF(C5:C47,"M1.2")</f>
        <v>0</v>
      </c>
      <c r="Y68" s="1652"/>
      <c r="Z68" s="1653">
        <f>COUNTIF(G5:G38,"M1.2")+COUNTIF(J5:J38,"M1.2")</f>
        <v>9</v>
      </c>
      <c r="AA68" s="1652"/>
      <c r="AB68" s="1653">
        <f>COUNTIF(O5:O49,"M1.2")+COUNTIF(R5:R49,"M1.2")</f>
        <v>4</v>
      </c>
      <c r="AC68" s="1652"/>
      <c r="AD68" s="1653">
        <f>COUNTIF(V5:V25,"M1.2")</f>
        <v>0</v>
      </c>
      <c r="AE68" s="1654"/>
      <c r="AF68" s="1655">
        <f t="shared" si="0"/>
        <v>13</v>
      </c>
    </row>
    <row r="69" spans="11:32" ht="15.75" thickBot="1" x14ac:dyDescent="0.4">
      <c r="K69" s="1512"/>
      <c r="L69" s="1512"/>
      <c r="M69" s="1512"/>
      <c r="N69" s="1512"/>
      <c r="O69" s="1512"/>
      <c r="P69" s="1512"/>
      <c r="V69" s="1527"/>
      <c r="W69" s="1656" t="s">
        <v>654</v>
      </c>
      <c r="X69" s="1657">
        <f>SUM(X66:Y68)</f>
        <v>13</v>
      </c>
      <c r="Y69" s="1658"/>
      <c r="Z69" s="1657">
        <f>SUM(Z66:AA68)</f>
        <v>50</v>
      </c>
      <c r="AA69" s="1658"/>
      <c r="AB69" s="1657">
        <f>SUM(AB66:AC68)</f>
        <v>73</v>
      </c>
      <c r="AC69" s="1658"/>
      <c r="AD69" s="1657">
        <f>SUM(AD66:AE68)</f>
        <v>14</v>
      </c>
      <c r="AE69" s="1658"/>
      <c r="AF69" s="1659">
        <f t="shared" si="0"/>
        <v>150</v>
      </c>
    </row>
    <row r="70" spans="11:32" x14ac:dyDescent="0.35">
      <c r="K70" s="1512"/>
      <c r="L70" s="1512"/>
      <c r="M70" s="1512"/>
      <c r="N70" s="1512"/>
      <c r="O70" s="1512"/>
      <c r="P70" s="1512"/>
      <c r="V70" s="1517" t="s">
        <v>655</v>
      </c>
      <c r="W70" s="1660" t="s">
        <v>632</v>
      </c>
      <c r="X70" s="1661">
        <f>COUNTIF(C5:C47,"M2")</f>
        <v>0</v>
      </c>
      <c r="Y70" s="1662"/>
      <c r="Z70" s="1663">
        <f>COUNTIF(G5:G38,"M2")+COUNTIF(J5:J38,"M2")</f>
        <v>1</v>
      </c>
      <c r="AA70" s="1662"/>
      <c r="AB70" s="1663">
        <f>COUNTIF(O5:O49,"M2")+COUNTIF(R5:R49,"M2")</f>
        <v>0</v>
      </c>
      <c r="AC70" s="1662"/>
      <c r="AD70" s="1663">
        <f>COUNTIF(V5:V25,"M2")</f>
        <v>0</v>
      </c>
      <c r="AE70" s="1664"/>
      <c r="AF70" s="1665">
        <f t="shared" si="0"/>
        <v>1</v>
      </c>
    </row>
    <row r="71" spans="11:32" ht="15.75" thickBot="1" x14ac:dyDescent="0.4">
      <c r="K71" s="1512"/>
      <c r="L71" s="1512"/>
      <c r="M71" s="1512"/>
      <c r="N71" s="1512"/>
      <c r="O71" s="1512"/>
      <c r="P71" s="1512"/>
      <c r="V71" s="1643"/>
      <c r="W71" s="1666" t="s">
        <v>611</v>
      </c>
      <c r="X71" s="1667">
        <f>COUNTIF(C5:C47,"M2.1")</f>
        <v>6</v>
      </c>
      <c r="Y71" s="1668"/>
      <c r="Z71" s="1669">
        <f>COUNTIF(G5:G38,"M2.1")+COUNTIF(J5:J38,"M2.1")</f>
        <v>1</v>
      </c>
      <c r="AA71" s="1668"/>
      <c r="AB71" s="1669">
        <f>COUNTIF(O5:O49,"M2.1")+COUNTIF(R5:R49,"M2.1")</f>
        <v>3</v>
      </c>
      <c r="AC71" s="1668"/>
      <c r="AD71" s="1669">
        <f>COUNTIF(V5:V25,"M2.1")</f>
        <v>4</v>
      </c>
      <c r="AE71" s="1670"/>
      <c r="AF71" s="1671">
        <f t="shared" si="0"/>
        <v>14</v>
      </c>
    </row>
    <row r="72" spans="11:32" ht="15.75" thickBot="1" x14ac:dyDescent="0.4">
      <c r="K72" s="1512"/>
      <c r="L72" s="1512"/>
      <c r="M72" s="1512"/>
      <c r="N72" s="1512"/>
      <c r="O72" s="1512"/>
      <c r="P72" s="1512"/>
      <c r="V72" s="1527"/>
      <c r="W72" s="1672" t="s">
        <v>656</v>
      </c>
      <c r="X72" s="1673">
        <f>SUM(X70:Y71)</f>
        <v>6</v>
      </c>
      <c r="Y72" s="1674"/>
      <c r="Z72" s="1673">
        <f>SUM(Z70:AA71)</f>
        <v>2</v>
      </c>
      <c r="AA72" s="1674"/>
      <c r="AB72" s="1657">
        <f>SUM(AB70:AC71)</f>
        <v>3</v>
      </c>
      <c r="AC72" s="1658"/>
      <c r="AD72" s="1657">
        <f>SUM(AD70:AE71)</f>
        <v>4</v>
      </c>
      <c r="AE72" s="1658"/>
      <c r="AF72" s="1656">
        <f t="shared" si="0"/>
        <v>15</v>
      </c>
    </row>
    <row r="73" spans="11:32" ht="15.75" thickBot="1" x14ac:dyDescent="0.4">
      <c r="K73" s="1512"/>
      <c r="L73" s="1512"/>
      <c r="M73" s="1512"/>
      <c r="N73" s="1512"/>
      <c r="O73" s="1512"/>
      <c r="P73" s="1512"/>
      <c r="V73" s="1675" t="s">
        <v>657</v>
      </c>
      <c r="W73" s="1676" t="s">
        <v>619</v>
      </c>
      <c r="X73" s="1677">
        <f>COUNTIF(C5:C47,"M3")</f>
        <v>0</v>
      </c>
      <c r="Y73" s="1678"/>
      <c r="Z73" s="1679">
        <f>COUNTIF(G5:G38,"M3")+COUNTIF(J5:J38,"M3")</f>
        <v>0</v>
      </c>
      <c r="AA73" s="1680"/>
      <c r="AB73" s="1679">
        <f>COUNTIF(O5:O49,"M3")+COUNTIF(R5:R49,"M3")</f>
        <v>2</v>
      </c>
      <c r="AC73" s="1680"/>
      <c r="AD73" s="1679">
        <f>COUNTIF(V5:V25,"M3")</f>
        <v>0</v>
      </c>
      <c r="AE73" s="1680"/>
      <c r="AF73" s="1681">
        <f>SUM(X73:AE73)</f>
        <v>2</v>
      </c>
    </row>
    <row r="74" spans="11:32" ht="15.75" thickBot="1" x14ac:dyDescent="0.4">
      <c r="K74" s="1512"/>
      <c r="L74" s="1512"/>
      <c r="M74" s="1512"/>
      <c r="N74" s="1512"/>
      <c r="O74" s="1512"/>
      <c r="P74" s="1512"/>
      <c r="V74" s="1682" t="s">
        <v>658</v>
      </c>
      <c r="W74" s="1683" t="s">
        <v>637</v>
      </c>
      <c r="X74" s="1684">
        <f>COUNTIF(C5:C47,"M4")</f>
        <v>0</v>
      </c>
      <c r="Y74" s="1685"/>
      <c r="Z74" s="1684">
        <f>COUNTIF(G5:G38,"M4")+COUNTIF(J5:J38,"M4")</f>
        <v>0</v>
      </c>
      <c r="AA74" s="1685"/>
      <c r="AB74" s="1684">
        <f>COUNTIF(O5:O49,"M4")+COUNTIF(R5:R49,"M4")</f>
        <v>2</v>
      </c>
      <c r="AC74" s="1685"/>
      <c r="AD74" s="1684">
        <f>COUNTIF(V5:V25,"M4")</f>
        <v>0</v>
      </c>
      <c r="AE74" s="1685"/>
      <c r="AF74" s="1686">
        <f>SUM(X74:AE74)</f>
        <v>2</v>
      </c>
    </row>
    <row r="75" spans="11:32" ht="15.75" thickBot="1" x14ac:dyDescent="0.4">
      <c r="K75" s="1512"/>
      <c r="L75" s="1512"/>
      <c r="M75" s="1512"/>
      <c r="N75" s="1512"/>
      <c r="O75" s="1512"/>
      <c r="P75" s="1512"/>
      <c r="Z75" s="1687"/>
      <c r="AA75" s="1688" t="s">
        <v>659</v>
      </c>
      <c r="AB75" s="1689"/>
      <c r="AC75" s="1689"/>
      <c r="AD75" s="1689"/>
      <c r="AE75" s="1690"/>
      <c r="AF75" s="1656">
        <f>SUM(AF69+AF72+AF73+AF74)</f>
        <v>169</v>
      </c>
    </row>
    <row r="76" spans="11:32" x14ac:dyDescent="0.35">
      <c r="K76" s="1512"/>
      <c r="L76" s="1512"/>
      <c r="M76" s="1512"/>
      <c r="N76" s="1512"/>
      <c r="O76" s="1512"/>
      <c r="P76" s="1512"/>
    </row>
    <row r="77" spans="11:32" x14ac:dyDescent="0.35">
      <c r="K77" s="1512"/>
      <c r="L77" s="1512"/>
      <c r="M77" s="1512"/>
      <c r="N77" s="1512"/>
      <c r="O77" s="1512"/>
      <c r="P77" s="1512"/>
    </row>
    <row r="78" spans="11:32" x14ac:dyDescent="0.35">
      <c r="K78" s="1512"/>
      <c r="L78" s="1512"/>
      <c r="M78" s="1512"/>
      <c r="N78" s="1512"/>
      <c r="O78" s="1512"/>
      <c r="P78" s="1512"/>
    </row>
    <row r="79" spans="11:32" x14ac:dyDescent="0.35">
      <c r="K79" s="1512"/>
      <c r="L79" s="1512"/>
      <c r="M79" s="1512"/>
      <c r="N79" s="1512"/>
      <c r="O79" s="1512"/>
      <c r="P79" s="1512"/>
    </row>
    <row r="80" spans="11:32" x14ac:dyDescent="0.35">
      <c r="K80" s="1512"/>
      <c r="L80" s="1512"/>
      <c r="M80" s="1512"/>
      <c r="N80" s="1512"/>
      <c r="O80" s="1512"/>
      <c r="P80" s="1512"/>
    </row>
    <row r="81" spans="11:16" x14ac:dyDescent="0.35">
      <c r="K81" s="1512"/>
      <c r="L81" s="1512"/>
      <c r="M81" s="1512"/>
      <c r="N81" s="1512"/>
      <c r="O81" s="1512"/>
      <c r="P81" s="1512"/>
    </row>
    <row r="82" spans="11:16" x14ac:dyDescent="0.35">
      <c r="K82" s="1512"/>
      <c r="L82" s="1512"/>
      <c r="M82" s="1512"/>
      <c r="N82" s="1512"/>
      <c r="O82" s="1512"/>
      <c r="P82" s="1512"/>
    </row>
    <row r="83" spans="11:16" x14ac:dyDescent="0.35">
      <c r="K83" s="1512"/>
      <c r="L83" s="1512"/>
      <c r="M83" s="1512"/>
      <c r="N83" s="1512"/>
      <c r="O83" s="1512"/>
      <c r="P83" s="1512"/>
    </row>
    <row r="84" spans="11:16" x14ac:dyDescent="0.35">
      <c r="K84" s="1512"/>
      <c r="L84" s="1512"/>
      <c r="M84" s="1512"/>
      <c r="N84" s="1512"/>
      <c r="O84" s="1512"/>
      <c r="P84" s="1512"/>
    </row>
    <row r="85" spans="11:16" x14ac:dyDescent="0.35">
      <c r="K85" s="1512"/>
      <c r="L85" s="1512"/>
      <c r="M85" s="1512"/>
      <c r="N85" s="1512"/>
      <c r="O85" s="1512"/>
      <c r="P85" s="1512"/>
    </row>
    <row r="141" s="1402" customFormat="1" x14ac:dyDescent="0.35"/>
    <row r="142" s="1402" customFormat="1" x14ac:dyDescent="0.35"/>
    <row r="143" s="1402" customFormat="1" x14ac:dyDescent="0.35"/>
  </sheetData>
  <mergeCells count="188">
    <mergeCell ref="AA75:AE75"/>
    <mergeCell ref="X73:Y73"/>
    <mergeCell ref="Z73:AA73"/>
    <mergeCell ref="AB73:AC73"/>
    <mergeCell ref="AD73:AE73"/>
    <mergeCell ref="X74:Y74"/>
    <mergeCell ref="Z74:AA74"/>
    <mergeCell ref="AB74:AC74"/>
    <mergeCell ref="AD74:AE74"/>
    <mergeCell ref="Z71:AA71"/>
    <mergeCell ref="AB71:AC71"/>
    <mergeCell ref="AD71:AE71"/>
    <mergeCell ref="X72:Y72"/>
    <mergeCell ref="Z72:AA72"/>
    <mergeCell ref="AB72:AC72"/>
    <mergeCell ref="AD72:AE72"/>
    <mergeCell ref="X69:Y69"/>
    <mergeCell ref="Z69:AA69"/>
    <mergeCell ref="AB69:AC69"/>
    <mergeCell ref="AD69:AE69"/>
    <mergeCell ref="V70:V72"/>
    <mergeCell ref="X70:Y70"/>
    <mergeCell ref="Z70:AA70"/>
    <mergeCell ref="AB70:AC70"/>
    <mergeCell ref="AD70:AE70"/>
    <mergeCell ref="X71:Y71"/>
    <mergeCell ref="Z67:AA67"/>
    <mergeCell ref="AB67:AC67"/>
    <mergeCell ref="AD67:AE67"/>
    <mergeCell ref="X68:Y68"/>
    <mergeCell ref="Z68:AA68"/>
    <mergeCell ref="AB68:AC68"/>
    <mergeCell ref="AD68:AE68"/>
    <mergeCell ref="X65:Y65"/>
    <mergeCell ref="Z65:AA65"/>
    <mergeCell ref="AB65:AC65"/>
    <mergeCell ref="AD65:AE65"/>
    <mergeCell ref="V66:V69"/>
    <mergeCell ref="X66:Y66"/>
    <mergeCell ref="Z66:AA66"/>
    <mergeCell ref="AB66:AC66"/>
    <mergeCell ref="AD66:AE66"/>
    <mergeCell ref="X67:Y67"/>
    <mergeCell ref="X60:AF61"/>
    <mergeCell ref="X62:AE63"/>
    <mergeCell ref="AF62:AF64"/>
    <mergeCell ref="V64:W64"/>
    <mergeCell ref="X64:Y64"/>
    <mergeCell ref="Z64:AA64"/>
    <mergeCell ref="AB64:AC64"/>
    <mergeCell ref="AD64:AE64"/>
    <mergeCell ref="B45:B46"/>
    <mergeCell ref="C45:C46"/>
    <mergeCell ref="D45:D46"/>
    <mergeCell ref="R47:R48"/>
    <mergeCell ref="S47:S48"/>
    <mergeCell ref="V60:W63"/>
    <mergeCell ref="R41:R42"/>
    <mergeCell ref="S41:S42"/>
    <mergeCell ref="B43:B44"/>
    <mergeCell ref="C43:C44"/>
    <mergeCell ref="D43:D44"/>
    <mergeCell ref="R43:R44"/>
    <mergeCell ref="S43:S44"/>
    <mergeCell ref="B36:B37"/>
    <mergeCell ref="C36:C37"/>
    <mergeCell ref="D36:D37"/>
    <mergeCell ref="Q37:Q38"/>
    <mergeCell ref="R37:R38"/>
    <mergeCell ref="S37:S38"/>
    <mergeCell ref="B38:B40"/>
    <mergeCell ref="C38:C40"/>
    <mergeCell ref="D38:D40"/>
    <mergeCell ref="F31:F32"/>
    <mergeCell ref="G31:G32"/>
    <mergeCell ref="H31:H32"/>
    <mergeCell ref="B34:B35"/>
    <mergeCell ref="C34:C35"/>
    <mergeCell ref="D34:D35"/>
    <mergeCell ref="B29:B30"/>
    <mergeCell ref="C29:C30"/>
    <mergeCell ref="D29:D30"/>
    <mergeCell ref="B31:B33"/>
    <mergeCell ref="C31:C33"/>
    <mergeCell ref="D31:D33"/>
    <mergeCell ref="B26:B28"/>
    <mergeCell ref="C26:C28"/>
    <mergeCell ref="D26:D28"/>
    <mergeCell ref="Q26:Q28"/>
    <mergeCell ref="R26:R28"/>
    <mergeCell ref="S26:S28"/>
    <mergeCell ref="H21:H23"/>
    <mergeCell ref="Q23:Q25"/>
    <mergeCell ref="R23:R25"/>
    <mergeCell ref="S23:S25"/>
    <mergeCell ref="B24:B25"/>
    <mergeCell ref="C24:C25"/>
    <mergeCell ref="D24:D25"/>
    <mergeCell ref="C18:C19"/>
    <mergeCell ref="D18:D19"/>
    <mergeCell ref="F19:F20"/>
    <mergeCell ref="G19:G20"/>
    <mergeCell ref="H19:H20"/>
    <mergeCell ref="B21:B23"/>
    <mergeCell ref="C21:C23"/>
    <mergeCell ref="D21:D23"/>
    <mergeCell ref="F21:F23"/>
    <mergeCell ref="G21:G23"/>
    <mergeCell ref="B15:B17"/>
    <mergeCell ref="C15:C17"/>
    <mergeCell ref="D15:D17"/>
    <mergeCell ref="I15:I16"/>
    <mergeCell ref="J15:J16"/>
    <mergeCell ref="K15:K16"/>
    <mergeCell ref="F17:F18"/>
    <mergeCell ref="G17:G18"/>
    <mergeCell ref="H17:H18"/>
    <mergeCell ref="B18:B19"/>
    <mergeCell ref="W11:W13"/>
    <mergeCell ref="B13:B14"/>
    <mergeCell ref="C13:C14"/>
    <mergeCell ref="D13:D14"/>
    <mergeCell ref="I13:I14"/>
    <mergeCell ref="J13:J14"/>
    <mergeCell ref="K13:K14"/>
    <mergeCell ref="F14:F15"/>
    <mergeCell ref="G14:G15"/>
    <mergeCell ref="H14:H15"/>
    <mergeCell ref="H11:H12"/>
    <mergeCell ref="I11:I12"/>
    <mergeCell ref="J11:J12"/>
    <mergeCell ref="K11:K12"/>
    <mergeCell ref="U11:U13"/>
    <mergeCell ref="V11:V13"/>
    <mergeCell ref="G8:G9"/>
    <mergeCell ref="H8:H9"/>
    <mergeCell ref="I9:I10"/>
    <mergeCell ref="J9:J10"/>
    <mergeCell ref="K9:K10"/>
    <mergeCell ref="B10:B12"/>
    <mergeCell ref="C10:C12"/>
    <mergeCell ref="D10:D12"/>
    <mergeCell ref="F11:F12"/>
    <mergeCell ref="G11:G12"/>
    <mergeCell ref="J5:J6"/>
    <mergeCell ref="K5:K6"/>
    <mergeCell ref="M5:M49"/>
    <mergeCell ref="T5:T25"/>
    <mergeCell ref="I7:I8"/>
    <mergeCell ref="J7:J8"/>
    <mergeCell ref="K7:K8"/>
    <mergeCell ref="Q17:Q18"/>
    <mergeCell ref="R17:R18"/>
    <mergeCell ref="S17:S18"/>
    <mergeCell ref="A5:A47"/>
    <mergeCell ref="B5:B7"/>
    <mergeCell ref="C5:C7"/>
    <mergeCell ref="D5:D7"/>
    <mergeCell ref="E5:E38"/>
    <mergeCell ref="I5:I6"/>
    <mergeCell ref="B8:B9"/>
    <mergeCell ref="C8:C9"/>
    <mergeCell ref="D8:D9"/>
    <mergeCell ref="F8:F9"/>
    <mergeCell ref="R3:R4"/>
    <mergeCell ref="S3:S4"/>
    <mergeCell ref="T3:T4"/>
    <mergeCell ref="U3:U4"/>
    <mergeCell ref="V3:V4"/>
    <mergeCell ref="W3:W4"/>
    <mergeCell ref="K3:K4"/>
    <mergeCell ref="M3:M4"/>
    <mergeCell ref="N3:N4"/>
    <mergeCell ref="O3:O4"/>
    <mergeCell ref="P3:P4"/>
    <mergeCell ref="Q3:Q4"/>
    <mergeCell ref="E3:E4"/>
    <mergeCell ref="F3:F4"/>
    <mergeCell ref="G3:G4"/>
    <mergeCell ref="H3:H4"/>
    <mergeCell ref="I3:I4"/>
    <mergeCell ref="J3:J4"/>
    <mergeCell ref="A1:D1"/>
    <mergeCell ref="A2:D2"/>
    <mergeCell ref="A3:A4"/>
    <mergeCell ref="B3:B4"/>
    <mergeCell ref="C3:C4"/>
    <mergeCell ref="D3:D4"/>
  </mergeCells>
  <pageMargins left="0.7" right="0.7" top="0.75" bottom="0.75" header="0.3" footer="0.3"/>
  <pageSetup paperSize="8" scale="23" fitToHeight="0" orientation="portrait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66F9A-131B-477E-918F-51C4DEFB66AA}">
  <sheetPr>
    <pageSetUpPr fitToPage="1"/>
  </sheetPr>
  <dimension ref="A1:T22"/>
  <sheetViews>
    <sheetView workbookViewId="0">
      <selection activeCell="I25" sqref="I25"/>
    </sheetView>
  </sheetViews>
  <sheetFormatPr defaultRowHeight="15" x14ac:dyDescent="0.25"/>
  <cols>
    <col min="6" max="6" width="12.140625" customWidth="1"/>
    <col min="7" max="7" width="10.28515625" customWidth="1"/>
  </cols>
  <sheetData>
    <row r="1" spans="1:20" x14ac:dyDescent="0.25">
      <c r="A1" s="1189"/>
      <c r="B1" s="1286" t="s">
        <v>37</v>
      </c>
      <c r="C1" s="983"/>
      <c r="D1" s="983"/>
      <c r="E1" s="983"/>
      <c r="F1" s="983"/>
      <c r="G1" s="983"/>
      <c r="H1" s="983"/>
      <c r="I1" s="983"/>
      <c r="J1" s="983"/>
      <c r="K1" s="983"/>
      <c r="L1" s="983"/>
      <c r="M1" s="983"/>
      <c r="N1" s="984"/>
    </row>
    <row r="2" spans="1:20" ht="15.75" thickBot="1" x14ac:dyDescent="0.3">
      <c r="A2" s="1190"/>
      <c r="B2" s="1287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6"/>
    </row>
    <row r="3" spans="1:20" x14ac:dyDescent="0.25">
      <c r="A3" s="1190"/>
      <c r="B3" s="1288" t="s">
        <v>0</v>
      </c>
      <c r="C3" s="991" t="s">
        <v>4</v>
      </c>
      <c r="D3" s="1294" t="s">
        <v>18</v>
      </c>
      <c r="E3" s="999" t="s">
        <v>15</v>
      </c>
      <c r="F3" s="999" t="s">
        <v>3</v>
      </c>
      <c r="G3" s="999" t="s">
        <v>16</v>
      </c>
      <c r="H3" s="1001" t="s">
        <v>17</v>
      </c>
      <c r="I3" s="1290" t="s">
        <v>1</v>
      </c>
      <c r="J3" s="1292" t="s">
        <v>2</v>
      </c>
      <c r="K3" s="993"/>
      <c r="L3" s="993"/>
      <c r="M3" s="993"/>
      <c r="N3" s="994"/>
    </row>
    <row r="4" spans="1:20" ht="15.75" thickBot="1" x14ac:dyDescent="0.3">
      <c r="A4" s="1191"/>
      <c r="B4" s="1289"/>
      <c r="C4" s="992"/>
      <c r="D4" s="1295"/>
      <c r="E4" s="1000"/>
      <c r="F4" s="1000"/>
      <c r="G4" s="1000"/>
      <c r="H4" s="1002"/>
      <c r="I4" s="1291"/>
      <c r="J4" s="1293"/>
      <c r="K4" s="995"/>
      <c r="L4" s="995"/>
      <c r="M4" s="995"/>
      <c r="N4" s="996"/>
    </row>
    <row r="5" spans="1:20" ht="15.75" thickTop="1" x14ac:dyDescent="0.25">
      <c r="A5" s="55" t="s">
        <v>26</v>
      </c>
      <c r="B5" s="54"/>
      <c r="C5" s="63"/>
      <c r="D5" s="65"/>
      <c r="E5" s="64"/>
      <c r="F5" s="62"/>
      <c r="G5" s="62"/>
      <c r="H5" s="61"/>
      <c r="I5" s="56"/>
      <c r="J5" s="57">
        <v>1</v>
      </c>
      <c r="K5" s="58">
        <v>2</v>
      </c>
      <c r="L5" s="58">
        <v>3</v>
      </c>
      <c r="M5" s="60">
        <v>4</v>
      </c>
      <c r="N5" s="59">
        <v>5</v>
      </c>
      <c r="P5" s="1280" t="s">
        <v>53</v>
      </c>
      <c r="Q5" s="1281"/>
      <c r="R5" s="1281"/>
      <c r="S5" s="1281"/>
      <c r="T5" s="1282"/>
    </row>
    <row r="6" spans="1:20" x14ac:dyDescent="0.25">
      <c r="A6" s="67">
        <v>1</v>
      </c>
      <c r="B6" s="68">
        <f>'Plot By Plot SoA'!C296</f>
        <v>265</v>
      </c>
      <c r="C6" s="69">
        <f>'Plot By Plot SoA'!D296</f>
        <v>43.4</v>
      </c>
      <c r="D6" s="70">
        <f>'Plot By Plot SoA'!E296</f>
        <v>467.15325999999999</v>
      </c>
      <c r="E6" s="71"/>
      <c r="F6" s="71"/>
      <c r="G6" s="71"/>
      <c r="H6" s="72" t="str">
        <f>'Plot By Plot SoA'!J296</f>
        <v>Y</v>
      </c>
      <c r="I6" s="73"/>
      <c r="J6" s="74" t="str">
        <f>'Plot By Plot SoA'!L296</f>
        <v>Y</v>
      </c>
      <c r="K6" s="75"/>
      <c r="L6" s="75"/>
      <c r="M6" s="76"/>
      <c r="N6" s="73"/>
      <c r="P6" s="166"/>
      <c r="Q6" s="161" t="s">
        <v>54</v>
      </c>
      <c r="R6" s="161" t="s">
        <v>55</v>
      </c>
      <c r="S6" s="162" t="s">
        <v>56</v>
      </c>
      <c r="T6" s="165" t="s">
        <v>52</v>
      </c>
    </row>
    <row r="7" spans="1:20" x14ac:dyDescent="0.25">
      <c r="A7" s="67">
        <v>2</v>
      </c>
      <c r="B7" s="77">
        <f>'Plot By Plot SoA'!C297</f>
        <v>266</v>
      </c>
      <c r="C7" s="69">
        <f>'Plot By Plot SoA'!D297</f>
        <v>43.4</v>
      </c>
      <c r="D7" s="70">
        <f>'Plot By Plot SoA'!E297</f>
        <v>467.15325999999999</v>
      </c>
      <c r="E7" s="71"/>
      <c r="F7" s="71"/>
      <c r="G7" s="71"/>
      <c r="H7" s="72" t="str">
        <f>'Plot By Plot SoA'!J297</f>
        <v>Y</v>
      </c>
      <c r="I7" s="73"/>
      <c r="J7" s="78" t="str">
        <f>'Plot By Plot SoA'!L297</f>
        <v>Y</v>
      </c>
      <c r="K7" s="76"/>
      <c r="L7" s="76"/>
      <c r="M7" s="76"/>
      <c r="N7" s="73"/>
      <c r="P7" s="157" t="s">
        <v>28</v>
      </c>
      <c r="Q7" s="105">
        <v>0</v>
      </c>
      <c r="R7" s="105">
        <v>0</v>
      </c>
      <c r="S7" s="72">
        <v>9</v>
      </c>
      <c r="T7" s="73">
        <f>SUM(Q7:S7)</f>
        <v>9</v>
      </c>
    </row>
    <row r="8" spans="1:20" x14ac:dyDescent="0.25">
      <c r="A8" s="67">
        <v>3</v>
      </c>
      <c r="B8" s="77">
        <f>'Plot By Plot SoA'!C298</f>
        <v>267</v>
      </c>
      <c r="C8" s="69">
        <f>'Plot By Plot SoA'!D298</f>
        <v>43.4</v>
      </c>
      <c r="D8" s="70">
        <f>'Plot By Plot SoA'!E298</f>
        <v>467.15325999999999</v>
      </c>
      <c r="E8" s="71"/>
      <c r="F8" s="71"/>
      <c r="G8" s="71"/>
      <c r="H8" s="72" t="str">
        <f>'Plot By Plot SoA'!J298</f>
        <v>Y</v>
      </c>
      <c r="I8" s="73"/>
      <c r="J8" s="78" t="str">
        <f>'Plot By Plot SoA'!L298</f>
        <v>Y</v>
      </c>
      <c r="K8" s="76"/>
      <c r="L8" s="76"/>
      <c r="M8" s="76"/>
      <c r="N8" s="73"/>
      <c r="P8" s="157" t="s">
        <v>29</v>
      </c>
      <c r="Q8" s="105">
        <v>0</v>
      </c>
      <c r="R8" s="105">
        <v>5</v>
      </c>
      <c r="S8" s="72">
        <v>0</v>
      </c>
      <c r="T8" s="73">
        <f>SUM(Q8:S8)</f>
        <v>5</v>
      </c>
    </row>
    <row r="9" spans="1:20" ht="15.75" thickBot="1" x14ac:dyDescent="0.3">
      <c r="A9" s="67">
        <v>4</v>
      </c>
      <c r="B9" s="77">
        <f>'Plot By Plot SoA'!C299</f>
        <v>268</v>
      </c>
      <c r="C9" s="69">
        <f>'Plot By Plot SoA'!D299</f>
        <v>43.4</v>
      </c>
      <c r="D9" s="70">
        <f>'Plot By Plot SoA'!E299</f>
        <v>467.15325999999999</v>
      </c>
      <c r="E9" s="71"/>
      <c r="F9" s="71"/>
      <c r="G9" s="71"/>
      <c r="H9" s="72" t="str">
        <f>'Plot By Plot SoA'!J299</f>
        <v>Y</v>
      </c>
      <c r="I9" s="73"/>
      <c r="J9" s="78" t="str">
        <f>'Plot By Plot SoA'!L299</f>
        <v>Y</v>
      </c>
      <c r="K9" s="76"/>
      <c r="L9" s="76"/>
      <c r="M9" s="76"/>
      <c r="N9" s="73"/>
      <c r="P9" s="167" t="s">
        <v>30</v>
      </c>
      <c r="Q9" s="163">
        <v>0</v>
      </c>
      <c r="R9" s="163">
        <v>0</v>
      </c>
      <c r="S9" s="164">
        <v>0</v>
      </c>
      <c r="T9" s="73">
        <f>SUM(Q9:S9)</f>
        <v>0</v>
      </c>
    </row>
    <row r="10" spans="1:20" ht="15.75" thickBot="1" x14ac:dyDescent="0.3">
      <c r="A10" s="67">
        <v>5</v>
      </c>
      <c r="B10" s="77">
        <f>'Plot By Plot SoA'!C300</f>
        <v>269</v>
      </c>
      <c r="C10" s="69">
        <f>'Plot By Plot SoA'!D300</f>
        <v>43.4</v>
      </c>
      <c r="D10" s="70">
        <f>'Plot By Plot SoA'!E300</f>
        <v>467.15325999999999</v>
      </c>
      <c r="E10" s="71"/>
      <c r="F10" s="71"/>
      <c r="G10" s="71"/>
      <c r="H10" s="72" t="str">
        <f>'Plot By Plot SoA'!J300</f>
        <v>Y</v>
      </c>
      <c r="I10" s="73"/>
      <c r="J10" s="78" t="str">
        <f>'Plot By Plot SoA'!L300</f>
        <v>Y</v>
      </c>
      <c r="K10" s="76"/>
      <c r="L10" s="76"/>
      <c r="M10" s="76"/>
      <c r="N10" s="73"/>
      <c r="P10" s="158" t="s">
        <v>52</v>
      </c>
      <c r="Q10" s="156">
        <f>SUM(Q7:Q9)</f>
        <v>0</v>
      </c>
      <c r="R10" s="156">
        <f>SUM(R7:R9)</f>
        <v>5</v>
      </c>
      <c r="S10" s="156">
        <f>SUM(S7:S9)</f>
        <v>9</v>
      </c>
      <c r="T10" s="155">
        <f>SUM(Q10:S10)</f>
        <v>14</v>
      </c>
    </row>
    <row r="11" spans="1:20" x14ac:dyDescent="0.25">
      <c r="A11" s="67">
        <v>6</v>
      </c>
      <c r="B11" s="77">
        <f>'Plot By Plot SoA'!C301</f>
        <v>270</v>
      </c>
      <c r="C11" s="69">
        <f>'Plot By Plot SoA'!D301</f>
        <v>51.2</v>
      </c>
      <c r="D11" s="70">
        <f>'Plot By Plot SoA'!E301</f>
        <v>551.11167999999998</v>
      </c>
      <c r="E11" s="71"/>
      <c r="F11" s="71"/>
      <c r="G11" s="71"/>
      <c r="H11" s="72" t="str">
        <f>'Plot By Plot SoA'!J301</f>
        <v>Y</v>
      </c>
      <c r="I11" s="73"/>
      <c r="J11" s="78" t="str">
        <f>'Plot By Plot SoA'!L301</f>
        <v>Y</v>
      </c>
      <c r="K11" s="76"/>
      <c r="L11" s="76"/>
      <c r="M11" s="76"/>
      <c r="N11" s="73"/>
    </row>
    <row r="12" spans="1:20" x14ac:dyDescent="0.25">
      <c r="A12" s="67">
        <v>7</v>
      </c>
      <c r="B12" s="77">
        <f>'Plot By Plot SoA'!C302</f>
        <v>271</v>
      </c>
      <c r="C12" s="69">
        <f>'Plot By Plot SoA'!D302</f>
        <v>43.4</v>
      </c>
      <c r="D12" s="70">
        <f>'Plot By Plot SoA'!E302</f>
        <v>467.15325999999999</v>
      </c>
      <c r="E12" s="71"/>
      <c r="F12" s="71"/>
      <c r="G12" s="71"/>
      <c r="H12" s="72" t="str">
        <f>'Plot By Plot SoA'!J302</f>
        <v>Y</v>
      </c>
      <c r="I12" s="73"/>
      <c r="J12" s="78" t="str">
        <f>'Plot By Plot SoA'!L302</f>
        <v>Y</v>
      </c>
      <c r="K12" s="76"/>
      <c r="L12" s="76"/>
      <c r="M12" s="76"/>
      <c r="N12" s="73"/>
    </row>
    <row r="13" spans="1:20" x14ac:dyDescent="0.25">
      <c r="A13" s="67">
        <v>8</v>
      </c>
      <c r="B13" s="77">
        <f>'Plot By Plot SoA'!C303</f>
        <v>272</v>
      </c>
      <c r="C13" s="69">
        <f>'Plot By Plot SoA'!D303</f>
        <v>43.4</v>
      </c>
      <c r="D13" s="70">
        <f>'Plot By Plot SoA'!E303</f>
        <v>467.15325999999999</v>
      </c>
      <c r="E13" s="71"/>
      <c r="F13" s="71"/>
      <c r="G13" s="71"/>
      <c r="H13" s="72" t="str">
        <f>'Plot By Plot SoA'!J303</f>
        <v>Y</v>
      </c>
      <c r="I13" s="73"/>
      <c r="J13" s="78" t="str">
        <f>'Plot By Plot SoA'!L303</f>
        <v>Y</v>
      </c>
      <c r="K13" s="76"/>
      <c r="L13" s="76"/>
      <c r="M13" s="76"/>
      <c r="N13" s="73"/>
    </row>
    <row r="14" spans="1:20" x14ac:dyDescent="0.25">
      <c r="A14" s="67">
        <v>9</v>
      </c>
      <c r="B14" s="77">
        <f>'Plot By Plot SoA'!C305</f>
        <v>274</v>
      </c>
      <c r="C14" s="69">
        <f>'Plot By Plot SoA'!D305</f>
        <v>39.200000000000003</v>
      </c>
      <c r="D14" s="70">
        <f>'Plot By Plot SoA'!E305</f>
        <v>421.94488000000001</v>
      </c>
      <c r="E14" s="71"/>
      <c r="F14" s="71"/>
      <c r="G14" s="71"/>
      <c r="H14" s="72">
        <f>'Plot By Plot SoA'!J305</f>
        <v>0</v>
      </c>
      <c r="I14" s="73"/>
      <c r="J14" s="78" t="str">
        <f>'Plot By Plot SoA'!L305</f>
        <v>Y</v>
      </c>
      <c r="K14" s="76"/>
      <c r="L14" s="76"/>
      <c r="M14" s="76"/>
      <c r="N14" s="73"/>
    </row>
    <row r="15" spans="1:20" x14ac:dyDescent="0.25">
      <c r="A15" s="67">
        <v>10</v>
      </c>
      <c r="B15" s="77">
        <f>'Plot By Plot SoA'!C306</f>
        <v>275</v>
      </c>
      <c r="C15" s="69">
        <f>'Plot By Plot SoA'!D306</f>
        <v>57.8</v>
      </c>
      <c r="D15" s="70">
        <f>'Plot By Plot SoA'!E306</f>
        <v>622.15341999999998</v>
      </c>
      <c r="E15" s="71"/>
      <c r="F15" s="71"/>
      <c r="G15" s="71" t="str">
        <f>'Plot By Plot SoA'!I306</f>
        <v>Y</v>
      </c>
      <c r="H15" s="72"/>
      <c r="I15" s="73"/>
      <c r="J15" s="78"/>
      <c r="K15" s="76">
        <f>'Plot By Plot SoA'!M306</f>
        <v>0</v>
      </c>
      <c r="L15" s="76"/>
      <c r="M15" s="76"/>
      <c r="N15" s="73"/>
    </row>
    <row r="16" spans="1:20" x14ac:dyDescent="0.25">
      <c r="A16" s="67">
        <v>11</v>
      </c>
      <c r="B16" s="77">
        <f>'Plot By Plot SoA'!C307</f>
        <v>276</v>
      </c>
      <c r="C16" s="69">
        <f>'Plot By Plot SoA'!D307</f>
        <v>57.8</v>
      </c>
      <c r="D16" s="70">
        <f>'Plot By Plot SoA'!E307</f>
        <v>622.15341999999998</v>
      </c>
      <c r="E16" s="71"/>
      <c r="F16" s="71"/>
      <c r="G16" s="71" t="str">
        <f>'Plot By Plot SoA'!I307</f>
        <v>Y</v>
      </c>
      <c r="H16" s="72"/>
      <c r="I16" s="73"/>
      <c r="J16" s="78"/>
      <c r="K16" s="76">
        <f>'Plot By Plot SoA'!M307</f>
        <v>0</v>
      </c>
      <c r="L16" s="76"/>
      <c r="M16" s="76"/>
      <c r="N16" s="73"/>
    </row>
    <row r="17" spans="1:14" x14ac:dyDescent="0.25">
      <c r="A17" s="67">
        <v>12</v>
      </c>
      <c r="B17" s="77">
        <f>'Plot By Plot SoA'!C308</f>
        <v>277</v>
      </c>
      <c r="C17" s="69">
        <f>'Plot By Plot SoA'!D308</f>
        <v>50.1</v>
      </c>
      <c r="D17" s="70">
        <f>'Plot By Plot SoA'!E308</f>
        <v>539.27139</v>
      </c>
      <c r="E17" s="71"/>
      <c r="F17" s="71"/>
      <c r="G17" s="71">
        <f>'Plot By Plot SoA'!I308</f>
        <v>0</v>
      </c>
      <c r="H17" s="72"/>
      <c r="I17" s="73"/>
      <c r="J17" s="78"/>
      <c r="K17" s="76">
        <f>'Plot By Plot SoA'!M308</f>
        <v>0</v>
      </c>
      <c r="L17" s="76"/>
      <c r="M17" s="76"/>
      <c r="N17" s="73"/>
    </row>
    <row r="18" spans="1:14" x14ac:dyDescent="0.25">
      <c r="A18" s="67">
        <v>13</v>
      </c>
      <c r="B18" s="77">
        <f>'Plot By Plot SoA'!C309</f>
        <v>278</v>
      </c>
      <c r="C18" s="69">
        <f>'Plot By Plot SoA'!D309</f>
        <v>100.1</v>
      </c>
      <c r="D18" s="70">
        <f>'Plot By Plot SoA'!E309</f>
        <v>1077.4663899999998</v>
      </c>
      <c r="E18" s="71"/>
      <c r="F18" s="71"/>
      <c r="G18" s="71" t="str">
        <f>'Plot By Plot SoA'!I309</f>
        <v>Y</v>
      </c>
      <c r="H18" s="72"/>
      <c r="I18" s="73"/>
      <c r="J18" s="78"/>
      <c r="K18" s="76" t="str">
        <f>'Plot By Plot SoA'!M309</f>
        <v>Y</v>
      </c>
      <c r="L18" s="76"/>
      <c r="M18" s="76"/>
      <c r="N18" s="73"/>
    </row>
    <row r="19" spans="1:14" ht="15.75" thickBot="1" x14ac:dyDescent="0.3">
      <c r="A19" s="67">
        <v>14</v>
      </c>
      <c r="B19" s="77">
        <f>'Plot By Plot SoA'!C310</f>
        <v>279</v>
      </c>
      <c r="C19" s="69">
        <f>'Plot By Plot SoA'!D310</f>
        <v>57.8</v>
      </c>
      <c r="D19" s="70">
        <f>'Plot By Plot SoA'!E310</f>
        <v>622.15341999999998</v>
      </c>
      <c r="E19" s="71"/>
      <c r="F19" s="71"/>
      <c r="G19" s="71" t="str">
        <f>'Plot By Plot SoA'!I310</f>
        <v>Y</v>
      </c>
      <c r="H19" s="72"/>
      <c r="I19" s="73"/>
      <c r="J19" s="78"/>
      <c r="K19" s="76">
        <f>'Plot By Plot SoA'!M310</f>
        <v>0</v>
      </c>
      <c r="L19" s="76"/>
      <c r="M19" s="76"/>
      <c r="N19" s="73"/>
    </row>
    <row r="20" spans="1:14" ht="45.75" thickBot="1" x14ac:dyDescent="0.3">
      <c r="A20" s="1283"/>
      <c r="B20" s="48" t="s">
        <v>5</v>
      </c>
      <c r="C20" s="45"/>
      <c r="D20" s="46"/>
      <c r="E20" s="10">
        <f>COUNTA(E6:E19)</f>
        <v>0</v>
      </c>
      <c r="F20" s="10">
        <f>COUNTA(F6:F19)</f>
        <v>0</v>
      </c>
      <c r="G20" s="10">
        <f>COUNTA(G6:G19)</f>
        <v>5</v>
      </c>
      <c r="H20" s="10">
        <f>COUNTA(H6:H19)</f>
        <v>9</v>
      </c>
      <c r="I20" s="10"/>
      <c r="J20" s="14">
        <f>COUNTA(J6:J19)</f>
        <v>9</v>
      </c>
      <c r="K20" s="14">
        <f>COUNTA(K6:K19)</f>
        <v>5</v>
      </c>
      <c r="L20" s="14">
        <f>COUNTA(L6:L19)</f>
        <v>0</v>
      </c>
      <c r="M20" s="14">
        <f>COUNTA(M6:M19)</f>
        <v>0</v>
      </c>
      <c r="N20" s="47">
        <f>COUNTA(N6:N19)</f>
        <v>0</v>
      </c>
    </row>
    <row r="21" spans="1:14" ht="30.75" thickBot="1" x14ac:dyDescent="0.3">
      <c r="A21" s="1284"/>
      <c r="B21" s="49" t="s">
        <v>6</v>
      </c>
      <c r="C21" s="1274">
        <f>SUM(C6:C19)</f>
        <v>717.8</v>
      </c>
      <c r="D21" s="1275"/>
      <c r="E21" s="1275"/>
      <c r="F21" s="1275"/>
      <c r="G21" s="1275"/>
      <c r="H21" s="1275"/>
      <c r="I21" s="1276"/>
      <c r="J21" s="51">
        <f>SUM(1/J22*J20)</f>
        <v>0.64285714285714279</v>
      </c>
      <c r="K21" s="52">
        <f>SUM(1/J22*K20)</f>
        <v>0.3571428571428571</v>
      </c>
      <c r="L21" s="52">
        <f>SUM(1/J22*L20)</f>
        <v>0</v>
      </c>
      <c r="M21" s="52">
        <f>SUM(1/J22*M20)</f>
        <v>0</v>
      </c>
      <c r="N21" s="53">
        <f>SUM(1/J22*N20)</f>
        <v>0</v>
      </c>
    </row>
    <row r="22" spans="1:14" ht="45.75" thickBot="1" x14ac:dyDescent="0.3">
      <c r="A22" s="1285"/>
      <c r="B22" s="50" t="s">
        <v>7</v>
      </c>
      <c r="C22" s="1105">
        <f>SUM(C21*10.7639)</f>
        <v>7726.3274199999996</v>
      </c>
      <c r="D22" s="1106"/>
      <c r="E22" s="1106"/>
      <c r="F22" s="1106"/>
      <c r="G22" s="1106"/>
      <c r="H22" s="1106"/>
      <c r="I22" s="1107"/>
      <c r="J22" s="1277">
        <f>SUM(J20:N20)</f>
        <v>14</v>
      </c>
      <c r="K22" s="1278"/>
      <c r="L22" s="1278"/>
      <c r="M22" s="1278"/>
      <c r="N22" s="1279"/>
    </row>
  </sheetData>
  <mergeCells count="17">
    <mergeCell ref="A1:A2"/>
    <mergeCell ref="B1:N2"/>
    <mergeCell ref="A3:A4"/>
    <mergeCell ref="B3:B4"/>
    <mergeCell ref="C3:C4"/>
    <mergeCell ref="F3:F4"/>
    <mergeCell ref="G3:G4"/>
    <mergeCell ref="H3:H4"/>
    <mergeCell ref="I3:I4"/>
    <mergeCell ref="J3:N4"/>
    <mergeCell ref="D3:D4"/>
    <mergeCell ref="E3:E4"/>
    <mergeCell ref="C21:I21"/>
    <mergeCell ref="C22:I22"/>
    <mergeCell ref="J22:N22"/>
    <mergeCell ref="P5:T5"/>
    <mergeCell ref="A20:A22"/>
  </mergeCells>
  <pageMargins left="0.7" right="0.7" top="0.75" bottom="0.75" header="0.3" footer="0.3"/>
  <pageSetup paperSize="8" scale="7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93E67-9158-49AA-BBBB-2B2F5D96AA18}">
  <sheetPr>
    <pageSetUpPr fitToPage="1"/>
  </sheetPr>
  <dimension ref="A1:T31"/>
  <sheetViews>
    <sheetView workbookViewId="0">
      <selection activeCell="I25" sqref="I25"/>
    </sheetView>
  </sheetViews>
  <sheetFormatPr defaultRowHeight="15" x14ac:dyDescent="0.25"/>
  <cols>
    <col min="6" max="6" width="11.42578125" customWidth="1"/>
  </cols>
  <sheetData>
    <row r="1" spans="1:20" x14ac:dyDescent="0.25">
      <c r="A1" s="1189"/>
      <c r="B1" s="1286" t="s">
        <v>37</v>
      </c>
      <c r="C1" s="983"/>
      <c r="D1" s="983"/>
      <c r="E1" s="983"/>
      <c r="F1" s="983"/>
      <c r="G1" s="983"/>
      <c r="H1" s="983"/>
      <c r="I1" s="983"/>
      <c r="J1" s="983"/>
      <c r="K1" s="983"/>
      <c r="L1" s="983"/>
      <c r="M1" s="983"/>
      <c r="N1" s="984"/>
    </row>
    <row r="2" spans="1:20" ht="15.75" thickBot="1" x14ac:dyDescent="0.3">
      <c r="A2" s="1190"/>
      <c r="B2" s="1287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6"/>
    </row>
    <row r="3" spans="1:20" x14ac:dyDescent="0.25">
      <c r="A3" s="1190"/>
      <c r="B3" s="1288" t="s">
        <v>0</v>
      </c>
      <c r="C3" s="991" t="s">
        <v>4</v>
      </c>
      <c r="D3" s="1294" t="s">
        <v>18</v>
      </c>
      <c r="E3" s="999" t="s">
        <v>15</v>
      </c>
      <c r="F3" s="999" t="s">
        <v>3</v>
      </c>
      <c r="G3" s="999" t="s">
        <v>16</v>
      </c>
      <c r="H3" s="1001" t="s">
        <v>17</v>
      </c>
      <c r="I3" s="1290" t="s">
        <v>1</v>
      </c>
      <c r="J3" s="1292" t="s">
        <v>2</v>
      </c>
      <c r="K3" s="993"/>
      <c r="L3" s="993"/>
      <c r="M3" s="993"/>
      <c r="N3" s="994"/>
    </row>
    <row r="4" spans="1:20" ht="15.75" thickBot="1" x14ac:dyDescent="0.3">
      <c r="A4" s="1191"/>
      <c r="B4" s="1289"/>
      <c r="C4" s="992"/>
      <c r="D4" s="1295"/>
      <c r="E4" s="1000"/>
      <c r="F4" s="1000"/>
      <c r="G4" s="1000"/>
      <c r="H4" s="1002"/>
      <c r="I4" s="1291"/>
      <c r="J4" s="1293"/>
      <c r="K4" s="995"/>
      <c r="L4" s="995"/>
      <c r="M4" s="995"/>
      <c r="N4" s="996"/>
    </row>
    <row r="5" spans="1:20" ht="15.75" thickTop="1" x14ac:dyDescent="0.25">
      <c r="A5" s="55" t="s">
        <v>26</v>
      </c>
      <c r="B5" s="54"/>
      <c r="C5" s="63"/>
      <c r="D5" s="65"/>
      <c r="E5" s="64"/>
      <c r="F5" s="62"/>
      <c r="G5" s="62"/>
      <c r="H5" s="61"/>
      <c r="I5" s="56"/>
      <c r="J5" s="57">
        <v>1</v>
      </c>
      <c r="K5" s="58">
        <v>2</v>
      </c>
      <c r="L5" s="58">
        <v>3</v>
      </c>
      <c r="M5" s="60">
        <v>4</v>
      </c>
      <c r="N5" s="59">
        <v>5</v>
      </c>
      <c r="P5" s="1280" t="s">
        <v>53</v>
      </c>
      <c r="Q5" s="1281"/>
      <c r="R5" s="1281"/>
      <c r="S5" s="1281"/>
      <c r="T5" s="1282"/>
    </row>
    <row r="6" spans="1:20" x14ac:dyDescent="0.25">
      <c r="A6" s="89">
        <v>1</v>
      </c>
      <c r="B6" s="68">
        <f>'Plot By Plot SoA'!C288</f>
        <v>257</v>
      </c>
      <c r="C6" s="90">
        <f>'Plot By Plot SoA'!D288</f>
        <v>43.4</v>
      </c>
      <c r="D6" s="91">
        <f>'Plot By Plot SoA'!E288</f>
        <v>467.15325999999999</v>
      </c>
      <c r="E6" s="95"/>
      <c r="F6" s="97">
        <f>'Plot By Plot SoA'!H288</f>
        <v>0</v>
      </c>
      <c r="G6" s="97"/>
      <c r="H6" s="91"/>
      <c r="I6" s="96"/>
      <c r="J6" s="94"/>
      <c r="K6" s="95"/>
      <c r="L6" s="95">
        <f>'Plot By Plot SoA'!N288</f>
        <v>0</v>
      </c>
      <c r="M6" s="95"/>
      <c r="N6" s="96"/>
      <c r="P6" s="166"/>
      <c r="Q6" s="161" t="s">
        <v>54</v>
      </c>
      <c r="R6" s="161" t="s">
        <v>55</v>
      </c>
      <c r="S6" s="162" t="s">
        <v>56</v>
      </c>
      <c r="T6" s="165" t="s">
        <v>52</v>
      </c>
    </row>
    <row r="7" spans="1:20" x14ac:dyDescent="0.25">
      <c r="A7" s="67">
        <v>2</v>
      </c>
      <c r="B7" s="77">
        <f>'Plot By Plot SoA'!C290</f>
        <v>259</v>
      </c>
      <c r="C7" s="71">
        <f>'Plot By Plot SoA'!D290</f>
        <v>43.4</v>
      </c>
      <c r="D7" s="70">
        <f>'Plot By Plot SoA'!E290</f>
        <v>467.15325999999999</v>
      </c>
      <c r="E7" s="71"/>
      <c r="F7" s="71"/>
      <c r="G7" s="71">
        <f>'Plot By Plot SoA'!I290</f>
        <v>0</v>
      </c>
      <c r="H7" s="79"/>
      <c r="I7" s="73"/>
      <c r="J7" s="78"/>
      <c r="K7" s="76">
        <f>'Plot By Plot SoA'!M290</f>
        <v>0</v>
      </c>
      <c r="L7" s="76"/>
      <c r="M7" s="76"/>
      <c r="N7" s="73"/>
      <c r="P7" s="157" t="s">
        <v>28</v>
      </c>
      <c r="Q7" s="105">
        <v>0</v>
      </c>
      <c r="R7" s="105">
        <v>0</v>
      </c>
      <c r="S7" s="72">
        <v>10</v>
      </c>
      <c r="T7" s="73">
        <f>SUM(Q7:S7)</f>
        <v>10</v>
      </c>
    </row>
    <row r="8" spans="1:20" x14ac:dyDescent="0.25">
      <c r="A8" s="67">
        <v>3</v>
      </c>
      <c r="B8" s="77">
        <f>'Plot By Plot SoA'!C292</f>
        <v>261</v>
      </c>
      <c r="C8" s="71">
        <f>'Plot By Plot SoA'!D292</f>
        <v>43.4</v>
      </c>
      <c r="D8" s="70">
        <f>'Plot By Plot SoA'!E292</f>
        <v>467.15325999999999</v>
      </c>
      <c r="E8" s="71"/>
      <c r="F8" s="71"/>
      <c r="G8" s="71">
        <f>'Plot By Plot SoA'!I292</f>
        <v>0</v>
      </c>
      <c r="H8" s="79"/>
      <c r="I8" s="73"/>
      <c r="J8" s="78"/>
      <c r="K8" s="76">
        <f>'Plot By Plot SoA'!M292</f>
        <v>0</v>
      </c>
      <c r="L8" s="71"/>
      <c r="M8" s="76"/>
      <c r="N8" s="73"/>
      <c r="P8" s="157" t="s">
        <v>29</v>
      </c>
      <c r="Q8" s="105">
        <v>0</v>
      </c>
      <c r="R8" s="105">
        <v>11</v>
      </c>
      <c r="S8" s="72">
        <v>0</v>
      </c>
      <c r="T8" s="73">
        <f>SUM(Q8:S8)</f>
        <v>11</v>
      </c>
    </row>
    <row r="9" spans="1:20" ht="15.75" thickBot="1" x14ac:dyDescent="0.3">
      <c r="A9" s="67">
        <v>4</v>
      </c>
      <c r="B9" s="77">
        <f>'Plot By Plot SoA'!C294</f>
        <v>263</v>
      </c>
      <c r="C9" s="71">
        <f>'Plot By Plot SoA'!D294</f>
        <v>43.4</v>
      </c>
      <c r="D9" s="70">
        <f>'Plot By Plot SoA'!E294</f>
        <v>467.15325999999999</v>
      </c>
      <c r="E9" s="71"/>
      <c r="F9" s="71"/>
      <c r="G9" s="71">
        <f>'Plot By Plot SoA'!I294</f>
        <v>0</v>
      </c>
      <c r="H9" s="72"/>
      <c r="I9" s="73"/>
      <c r="J9" s="78"/>
      <c r="K9" s="76">
        <f>'Plot By Plot SoA'!M294</f>
        <v>0</v>
      </c>
      <c r="L9" s="76"/>
      <c r="M9" s="76"/>
      <c r="N9" s="73"/>
      <c r="P9" s="167" t="s">
        <v>30</v>
      </c>
      <c r="Q9" s="163">
        <v>1</v>
      </c>
      <c r="R9" s="163">
        <v>0</v>
      </c>
      <c r="S9" s="164">
        <v>1</v>
      </c>
      <c r="T9" s="73">
        <f>SUM(Q9:S9)</f>
        <v>2</v>
      </c>
    </row>
    <row r="10" spans="1:20" ht="15.75" thickBot="1" x14ac:dyDescent="0.3">
      <c r="A10" s="67">
        <v>5</v>
      </c>
      <c r="B10" s="77">
        <f>'Plot By Plot SoA'!C296</f>
        <v>265</v>
      </c>
      <c r="C10" s="71">
        <f>'Plot By Plot SoA'!D296</f>
        <v>43.4</v>
      </c>
      <c r="D10" s="70">
        <f>'Plot By Plot SoA'!E296</f>
        <v>467.15325999999999</v>
      </c>
      <c r="E10" s="71"/>
      <c r="F10" s="71"/>
      <c r="G10" s="71"/>
      <c r="H10" s="72" t="str">
        <f>'Plot By Plot SoA'!J296</f>
        <v>Y</v>
      </c>
      <c r="I10" s="73"/>
      <c r="J10" s="78" t="str">
        <f>'Plot By Plot SoA'!L296</f>
        <v>Y</v>
      </c>
      <c r="K10" s="76"/>
      <c r="L10" s="76"/>
      <c r="M10" s="76"/>
      <c r="N10" s="73"/>
      <c r="P10" s="158" t="s">
        <v>52</v>
      </c>
      <c r="Q10" s="156">
        <f>SUM(Q7:Q9)</f>
        <v>1</v>
      </c>
      <c r="R10" s="156">
        <f>SUM(R7:R9)</f>
        <v>11</v>
      </c>
      <c r="S10" s="156">
        <f>SUM(S7:S9)</f>
        <v>11</v>
      </c>
      <c r="T10" s="155">
        <f>SUM(Q10:S10)</f>
        <v>23</v>
      </c>
    </row>
    <row r="11" spans="1:20" x14ac:dyDescent="0.25">
      <c r="A11" s="67">
        <v>6</v>
      </c>
      <c r="B11" s="77">
        <f>'Plot By Plot SoA'!C297</f>
        <v>266</v>
      </c>
      <c r="C11" s="71">
        <f>'Plot By Plot SoA'!D297</f>
        <v>43.4</v>
      </c>
      <c r="D11" s="70">
        <f>'Plot By Plot SoA'!E297</f>
        <v>467.15325999999999</v>
      </c>
      <c r="E11" s="71"/>
      <c r="F11" s="71"/>
      <c r="G11" s="71"/>
      <c r="H11" s="79" t="str">
        <f>'Plot By Plot SoA'!J297</f>
        <v>Y</v>
      </c>
      <c r="I11" s="73"/>
      <c r="J11" s="78" t="str">
        <f>'Plot By Plot SoA'!L297</f>
        <v>Y</v>
      </c>
      <c r="K11" s="76"/>
      <c r="L11" s="76"/>
      <c r="M11" s="76"/>
      <c r="N11" s="73"/>
    </row>
    <row r="12" spans="1:20" x14ac:dyDescent="0.25">
      <c r="A12" s="67">
        <v>7</v>
      </c>
      <c r="B12" s="77">
        <f>'Plot By Plot SoA'!C298</f>
        <v>267</v>
      </c>
      <c r="C12" s="71">
        <f>'Plot By Plot SoA'!D298</f>
        <v>43.4</v>
      </c>
      <c r="D12" s="70">
        <f>'Plot By Plot SoA'!E298</f>
        <v>467.15325999999999</v>
      </c>
      <c r="E12" s="71"/>
      <c r="F12" s="71"/>
      <c r="G12" s="71"/>
      <c r="H12" s="79" t="str">
        <f>'Plot By Plot SoA'!J298</f>
        <v>Y</v>
      </c>
      <c r="I12" s="73"/>
      <c r="J12" s="78" t="str">
        <f>'Plot By Plot SoA'!L298</f>
        <v>Y</v>
      </c>
      <c r="K12" s="76"/>
      <c r="L12" s="76"/>
      <c r="M12" s="76"/>
      <c r="N12" s="73"/>
    </row>
    <row r="13" spans="1:20" x14ac:dyDescent="0.25">
      <c r="A13" s="67">
        <v>8</v>
      </c>
      <c r="B13" s="77">
        <f>'Plot By Plot SoA'!C299</f>
        <v>268</v>
      </c>
      <c r="C13" s="71">
        <f>'Plot By Plot SoA'!D299</f>
        <v>43.4</v>
      </c>
      <c r="D13" s="70">
        <f>'Plot By Plot SoA'!E299</f>
        <v>467.15325999999999</v>
      </c>
      <c r="E13" s="71"/>
      <c r="F13" s="71"/>
      <c r="G13" s="71"/>
      <c r="H13" s="79" t="str">
        <f>'Plot By Plot SoA'!J299</f>
        <v>Y</v>
      </c>
      <c r="I13" s="73"/>
      <c r="J13" s="78" t="str">
        <f>'Plot By Plot SoA'!L299</f>
        <v>Y</v>
      </c>
      <c r="K13" s="76"/>
      <c r="L13" s="76"/>
      <c r="M13" s="76"/>
      <c r="N13" s="73"/>
    </row>
    <row r="14" spans="1:20" x14ac:dyDescent="0.25">
      <c r="A14" s="67">
        <v>9</v>
      </c>
      <c r="B14" s="77">
        <f>'Plot By Plot SoA'!C300</f>
        <v>269</v>
      </c>
      <c r="C14" s="71">
        <f>'Plot By Plot SoA'!D300</f>
        <v>43.4</v>
      </c>
      <c r="D14" s="70">
        <f>'Plot By Plot SoA'!E300</f>
        <v>467.15325999999999</v>
      </c>
      <c r="E14" s="71"/>
      <c r="F14" s="71"/>
      <c r="G14" s="71"/>
      <c r="H14" s="79" t="str">
        <f>'Plot By Plot SoA'!J300</f>
        <v>Y</v>
      </c>
      <c r="I14" s="73"/>
      <c r="J14" s="78" t="str">
        <f>'Plot By Plot SoA'!L300</f>
        <v>Y</v>
      </c>
      <c r="K14" s="76"/>
      <c r="L14" s="76"/>
      <c r="M14" s="76"/>
      <c r="N14" s="73"/>
    </row>
    <row r="15" spans="1:20" x14ac:dyDescent="0.25">
      <c r="A15" s="67">
        <v>10</v>
      </c>
      <c r="B15" s="77">
        <f>'Plot By Plot SoA'!C301</f>
        <v>270</v>
      </c>
      <c r="C15" s="71">
        <f>'Plot By Plot SoA'!D301</f>
        <v>51.2</v>
      </c>
      <c r="D15" s="70">
        <f>'Plot By Plot SoA'!E301</f>
        <v>551.11167999999998</v>
      </c>
      <c r="E15" s="71"/>
      <c r="F15" s="71"/>
      <c r="G15" s="71"/>
      <c r="H15" s="79" t="str">
        <f>'Plot By Plot SoA'!J301</f>
        <v>Y</v>
      </c>
      <c r="I15" s="73"/>
      <c r="J15" s="78" t="str">
        <f>'Plot By Plot SoA'!L301</f>
        <v>Y</v>
      </c>
      <c r="K15" s="76"/>
      <c r="L15" s="76"/>
      <c r="M15" s="76"/>
      <c r="N15" s="73"/>
    </row>
    <row r="16" spans="1:20" x14ac:dyDescent="0.25">
      <c r="A16" s="67">
        <v>11</v>
      </c>
      <c r="B16" s="77">
        <f>'Plot By Plot SoA'!C302</f>
        <v>271</v>
      </c>
      <c r="C16" s="71">
        <f>'Plot By Plot SoA'!D302</f>
        <v>43.4</v>
      </c>
      <c r="D16" s="70">
        <f>'Plot By Plot SoA'!E302</f>
        <v>467.15325999999999</v>
      </c>
      <c r="E16" s="71"/>
      <c r="F16" s="71"/>
      <c r="G16" s="71"/>
      <c r="H16" s="79" t="str">
        <f>'Plot By Plot SoA'!J302</f>
        <v>Y</v>
      </c>
      <c r="I16" s="73"/>
      <c r="J16" s="78" t="str">
        <f>'Plot By Plot SoA'!L302</f>
        <v>Y</v>
      </c>
      <c r="K16" s="76"/>
      <c r="L16" s="76"/>
      <c r="M16" s="76"/>
      <c r="N16" s="73"/>
    </row>
    <row r="17" spans="1:14" x14ac:dyDescent="0.25">
      <c r="A17" s="67">
        <v>12</v>
      </c>
      <c r="B17" s="77">
        <f>'Plot By Plot SoA'!C303</f>
        <v>272</v>
      </c>
      <c r="C17" s="71">
        <f>'Plot By Plot SoA'!D303</f>
        <v>43.4</v>
      </c>
      <c r="D17" s="70">
        <f>'Plot By Plot SoA'!E303</f>
        <v>467.15325999999999</v>
      </c>
      <c r="E17" s="71"/>
      <c r="F17" s="71"/>
      <c r="G17" s="71"/>
      <c r="H17" s="79" t="str">
        <f>'Plot By Plot SoA'!J303</f>
        <v>Y</v>
      </c>
      <c r="I17" s="73"/>
      <c r="J17" s="78" t="str">
        <f>'Plot By Plot SoA'!L303</f>
        <v>Y</v>
      </c>
      <c r="K17" s="76"/>
      <c r="L17" s="76"/>
      <c r="M17" s="76"/>
      <c r="N17" s="73"/>
    </row>
    <row r="18" spans="1:14" x14ac:dyDescent="0.25">
      <c r="A18" s="67">
        <v>13</v>
      </c>
      <c r="B18" s="77">
        <f>'Plot By Plot SoA'!C305</f>
        <v>274</v>
      </c>
      <c r="C18" s="71">
        <f>'Plot By Plot SoA'!D305</f>
        <v>39.200000000000003</v>
      </c>
      <c r="D18" s="70">
        <f>'Plot By Plot SoA'!E305</f>
        <v>421.94488000000001</v>
      </c>
      <c r="E18" s="71"/>
      <c r="F18" s="71"/>
      <c r="G18" s="71"/>
      <c r="H18" s="79">
        <f>'Plot By Plot SoA'!J305</f>
        <v>0</v>
      </c>
      <c r="I18" s="73"/>
      <c r="J18" s="78" t="str">
        <f>'Plot By Plot SoA'!L305</f>
        <v>Y</v>
      </c>
      <c r="K18" s="76"/>
      <c r="L18" s="76"/>
      <c r="M18" s="76"/>
      <c r="N18" s="73"/>
    </row>
    <row r="19" spans="1:14" x14ac:dyDescent="0.25">
      <c r="A19" s="67">
        <v>14</v>
      </c>
      <c r="B19" s="77">
        <f>'Plot By Plot SoA'!C306</f>
        <v>275</v>
      </c>
      <c r="C19" s="71">
        <f>'Plot By Plot SoA'!D306</f>
        <v>57.8</v>
      </c>
      <c r="D19" s="70">
        <f>'Plot By Plot SoA'!E306</f>
        <v>622.15341999999998</v>
      </c>
      <c r="E19" s="71"/>
      <c r="F19" s="71"/>
      <c r="G19" s="71" t="str">
        <f>'Plot By Plot SoA'!I306</f>
        <v>Y</v>
      </c>
      <c r="H19" s="79"/>
      <c r="I19" s="73"/>
      <c r="J19" s="78"/>
      <c r="K19" s="76">
        <f>'Plot By Plot SoA'!M306</f>
        <v>0</v>
      </c>
      <c r="L19" s="76"/>
      <c r="M19" s="76"/>
      <c r="N19" s="73"/>
    </row>
    <row r="20" spans="1:14" x14ac:dyDescent="0.25">
      <c r="A20" s="67">
        <v>15</v>
      </c>
      <c r="B20" s="77">
        <f>'Plot By Plot SoA'!C307</f>
        <v>276</v>
      </c>
      <c r="C20" s="71">
        <f>'Plot By Plot SoA'!D307</f>
        <v>57.8</v>
      </c>
      <c r="D20" s="70">
        <f>'Plot By Plot SoA'!E307</f>
        <v>622.15341999999998</v>
      </c>
      <c r="E20" s="71"/>
      <c r="F20" s="71"/>
      <c r="G20" s="71" t="str">
        <f>'Plot By Plot SoA'!I307</f>
        <v>Y</v>
      </c>
      <c r="H20" s="79"/>
      <c r="I20" s="73"/>
      <c r="J20" s="78"/>
      <c r="K20" s="76">
        <f>'Plot By Plot SoA'!M307</f>
        <v>0</v>
      </c>
      <c r="L20" s="76"/>
      <c r="M20" s="76"/>
      <c r="N20" s="73"/>
    </row>
    <row r="21" spans="1:14" x14ac:dyDescent="0.25">
      <c r="A21" s="67">
        <v>16</v>
      </c>
      <c r="B21" s="77">
        <f>'Plot By Plot SoA'!C308</f>
        <v>277</v>
      </c>
      <c r="C21" s="71">
        <f>'Plot By Plot SoA'!D308</f>
        <v>50.1</v>
      </c>
      <c r="D21" s="70">
        <f>'Plot By Plot SoA'!E308</f>
        <v>539.27139</v>
      </c>
      <c r="E21" s="71"/>
      <c r="F21" s="71"/>
      <c r="G21" s="71">
        <f>'Plot By Plot SoA'!I308</f>
        <v>0</v>
      </c>
      <c r="H21" s="79"/>
      <c r="I21" s="73"/>
      <c r="J21" s="78"/>
      <c r="K21" s="76">
        <f>'Plot By Plot SoA'!M308</f>
        <v>0</v>
      </c>
      <c r="L21" s="76"/>
      <c r="M21" s="76"/>
      <c r="N21" s="73"/>
    </row>
    <row r="22" spans="1:14" x14ac:dyDescent="0.25">
      <c r="A22" s="67">
        <v>17</v>
      </c>
      <c r="B22" s="77">
        <f>'Plot By Plot SoA'!C309</f>
        <v>278</v>
      </c>
      <c r="C22" s="71">
        <f>'Plot By Plot SoA'!D309</f>
        <v>100.1</v>
      </c>
      <c r="D22" s="70">
        <f>'Plot By Plot SoA'!E309</f>
        <v>1077.4663899999998</v>
      </c>
      <c r="E22" s="71"/>
      <c r="F22" s="71"/>
      <c r="G22" s="71" t="str">
        <f>'Plot By Plot SoA'!I309</f>
        <v>Y</v>
      </c>
      <c r="H22" s="79"/>
      <c r="I22" s="73"/>
      <c r="J22" s="78"/>
      <c r="K22" s="76" t="str">
        <f>'Plot By Plot SoA'!M309</f>
        <v>Y</v>
      </c>
      <c r="L22" s="76"/>
      <c r="M22" s="76"/>
      <c r="N22" s="73"/>
    </row>
    <row r="23" spans="1:14" x14ac:dyDescent="0.25">
      <c r="A23" s="67">
        <v>18</v>
      </c>
      <c r="B23" s="77">
        <f>'Plot By Plot SoA'!C310</f>
        <v>279</v>
      </c>
      <c r="C23" s="71">
        <f>'Plot By Plot SoA'!D310</f>
        <v>57.8</v>
      </c>
      <c r="D23" s="70">
        <f>'Plot By Plot SoA'!E310</f>
        <v>622.15341999999998</v>
      </c>
      <c r="E23" s="71"/>
      <c r="F23" s="71"/>
      <c r="G23" s="71" t="str">
        <f>'Plot By Plot SoA'!I310</f>
        <v>Y</v>
      </c>
      <c r="H23" s="79"/>
      <c r="I23" s="73"/>
      <c r="J23" s="78"/>
      <c r="K23" s="76">
        <f>'Plot By Plot SoA'!M310</f>
        <v>0</v>
      </c>
      <c r="L23" s="76"/>
      <c r="M23" s="76"/>
      <c r="N23" s="73"/>
    </row>
    <row r="24" spans="1:14" x14ac:dyDescent="0.25">
      <c r="A24" s="67">
        <v>19</v>
      </c>
      <c r="B24" s="77">
        <f>'Plot By Plot SoA'!C311</f>
        <v>280</v>
      </c>
      <c r="C24" s="71">
        <f>'Plot By Plot SoA'!D311</f>
        <v>57.8</v>
      </c>
      <c r="D24" s="70">
        <f>'Plot By Plot SoA'!E311</f>
        <v>622.15341999999998</v>
      </c>
      <c r="E24" s="71"/>
      <c r="F24" s="71"/>
      <c r="G24" s="71" t="str">
        <f>'Plot By Plot SoA'!I311</f>
        <v>Y</v>
      </c>
      <c r="H24" s="79"/>
      <c r="I24" s="73"/>
      <c r="J24" s="78"/>
      <c r="K24" s="76">
        <f>'Plot By Plot SoA'!M311</f>
        <v>0</v>
      </c>
      <c r="L24" s="76"/>
      <c r="M24" s="76"/>
      <c r="N24" s="73"/>
    </row>
    <row r="25" spans="1:14" x14ac:dyDescent="0.25">
      <c r="A25" s="67">
        <v>20</v>
      </c>
      <c r="B25" s="77">
        <f>'Plot By Plot SoA'!C313</f>
        <v>282</v>
      </c>
      <c r="C25" s="71">
        <f>'Plot By Plot SoA'!D313</f>
        <v>69.599999999999994</v>
      </c>
      <c r="D25" s="70">
        <f>'Plot By Plot SoA'!E313</f>
        <v>749.16743999999994</v>
      </c>
      <c r="E25" s="71"/>
      <c r="F25" s="71"/>
      <c r="G25" s="71" t="str">
        <f>'Plot By Plot SoA'!I313</f>
        <v>Y</v>
      </c>
      <c r="H25" s="79"/>
      <c r="I25" s="73"/>
      <c r="J25" s="78"/>
      <c r="K25" s="76" t="str">
        <f>'Plot By Plot SoA'!M313</f>
        <v>Y</v>
      </c>
      <c r="L25" s="76"/>
      <c r="M25" s="76"/>
      <c r="N25" s="73"/>
    </row>
    <row r="26" spans="1:14" x14ac:dyDescent="0.25">
      <c r="A26" s="67">
        <v>21</v>
      </c>
      <c r="B26" s="77">
        <f>'Plot By Plot SoA'!C316</f>
        <v>285</v>
      </c>
      <c r="C26" s="71">
        <f>'Plot By Plot SoA'!D316</f>
        <v>87.3</v>
      </c>
      <c r="D26" s="70">
        <f>'Plot By Plot SoA'!E316</f>
        <v>939.68846999999994</v>
      </c>
      <c r="E26" s="71"/>
      <c r="F26" s="71"/>
      <c r="G26" s="71" t="str">
        <f>'Plot By Plot SoA'!I316</f>
        <v>Y</v>
      </c>
      <c r="H26" s="79"/>
      <c r="I26" s="73"/>
      <c r="J26" s="78"/>
      <c r="K26" s="76">
        <f>'Plot By Plot SoA'!M316</f>
        <v>0</v>
      </c>
      <c r="L26" s="76"/>
      <c r="M26" s="76"/>
      <c r="N26" s="73"/>
    </row>
    <row r="27" spans="1:14" x14ac:dyDescent="0.25">
      <c r="A27" s="67">
        <v>22</v>
      </c>
      <c r="B27" s="77">
        <f>'Plot By Plot SoA'!C319</f>
        <v>288</v>
      </c>
      <c r="C27" s="71">
        <f>'Plot By Plot SoA'!D319</f>
        <v>69.599999999999994</v>
      </c>
      <c r="D27" s="70">
        <f>'Plot By Plot SoA'!E319</f>
        <v>749.16743999999994</v>
      </c>
      <c r="E27" s="71"/>
      <c r="F27" s="71"/>
      <c r="G27" s="71"/>
      <c r="H27" s="79">
        <f>'Plot By Plot SoA'!J319</f>
        <v>0</v>
      </c>
      <c r="I27" s="73"/>
      <c r="J27" s="78">
        <f>'Plot By Plot SoA'!L319</f>
        <v>0</v>
      </c>
      <c r="K27" s="76"/>
      <c r="L27" s="76"/>
      <c r="M27" s="76"/>
      <c r="N27" s="73"/>
    </row>
    <row r="28" spans="1:14" ht="15.75" thickBot="1" x14ac:dyDescent="0.3">
      <c r="A28" s="67">
        <v>23</v>
      </c>
      <c r="B28" s="77">
        <f>'Plot By Plot SoA'!C320</f>
        <v>289</v>
      </c>
      <c r="C28" s="71">
        <f>'Plot By Plot SoA'!D320</f>
        <v>59.4</v>
      </c>
      <c r="D28" s="70">
        <f>'Plot By Plot SoA'!E320</f>
        <v>639.37565999999993</v>
      </c>
      <c r="E28" s="71"/>
      <c r="F28" s="71"/>
      <c r="G28" s="71"/>
      <c r="H28" s="79" t="str">
        <f>'Plot By Plot SoA'!J320</f>
        <v>Y</v>
      </c>
      <c r="I28" s="73"/>
      <c r="J28" s="78"/>
      <c r="K28" s="76"/>
      <c r="L28" s="76">
        <f>'Plot By Plot SoA'!N320</f>
        <v>0</v>
      </c>
      <c r="M28" s="76"/>
      <c r="N28" s="73"/>
    </row>
    <row r="29" spans="1:14" ht="45.75" thickBot="1" x14ac:dyDescent="0.3">
      <c r="A29" s="1283"/>
      <c r="B29" s="48" t="s">
        <v>5</v>
      </c>
      <c r="C29" s="45"/>
      <c r="D29" s="46"/>
      <c r="E29" s="10">
        <f>COUNTA(E6:E28)</f>
        <v>0</v>
      </c>
      <c r="F29" s="10">
        <f>COUNTA(F6:F28)</f>
        <v>1</v>
      </c>
      <c r="G29" s="10">
        <f>COUNTA(G6:G28)</f>
        <v>11</v>
      </c>
      <c r="H29" s="10">
        <f>COUNTA(H6:H28)</f>
        <v>11</v>
      </c>
      <c r="I29" s="10"/>
      <c r="J29" s="14">
        <f>COUNTA(J6:J28)</f>
        <v>10</v>
      </c>
      <c r="K29" s="14">
        <f>COUNTA(K6:K28)</f>
        <v>11</v>
      </c>
      <c r="L29" s="14">
        <f>COUNTA(L6:L28)</f>
        <v>2</v>
      </c>
      <c r="M29" s="14">
        <f>COUNTA(M6:M28)</f>
        <v>0</v>
      </c>
      <c r="N29" s="47">
        <f>COUNTA(N15:N28)</f>
        <v>0</v>
      </c>
    </row>
    <row r="30" spans="1:14" ht="30.75" thickBot="1" x14ac:dyDescent="0.3">
      <c r="A30" s="1284"/>
      <c r="B30" s="49" t="s">
        <v>6</v>
      </c>
      <c r="C30" s="1274">
        <f>SUM(C6:C28)</f>
        <v>1235.0999999999999</v>
      </c>
      <c r="D30" s="1275"/>
      <c r="E30" s="1275"/>
      <c r="F30" s="1275"/>
      <c r="G30" s="1275"/>
      <c r="H30" s="1275"/>
      <c r="I30" s="1276"/>
      <c r="J30" s="51">
        <f>SUM(1/J31*J29)</f>
        <v>0.43478260869565216</v>
      </c>
      <c r="K30" s="52">
        <f>SUM(1/J31*K29)</f>
        <v>0.47826086956521741</v>
      </c>
      <c r="L30" s="52">
        <f>SUM(1/J31*L29)</f>
        <v>8.6956521739130432E-2</v>
      </c>
      <c r="M30" s="52">
        <f>SUM(1/J31*M29)</f>
        <v>0</v>
      </c>
      <c r="N30" s="53">
        <f>SUM(1/J31*N29)</f>
        <v>0</v>
      </c>
    </row>
    <row r="31" spans="1:14" ht="45.75" thickBot="1" x14ac:dyDescent="0.3">
      <c r="A31" s="1285"/>
      <c r="B31" s="50" t="s">
        <v>7</v>
      </c>
      <c r="C31" s="1105">
        <f>SUM(C30*10.7639)</f>
        <v>13294.492889999998</v>
      </c>
      <c r="D31" s="1106"/>
      <c r="E31" s="1106"/>
      <c r="F31" s="1106"/>
      <c r="G31" s="1106"/>
      <c r="H31" s="1106"/>
      <c r="I31" s="1107"/>
      <c r="J31" s="1277">
        <f>SUM(J29:N29)</f>
        <v>23</v>
      </c>
      <c r="K31" s="1278"/>
      <c r="L31" s="1278"/>
      <c r="M31" s="1278"/>
      <c r="N31" s="1279"/>
    </row>
  </sheetData>
  <mergeCells count="17">
    <mergeCell ref="P5:T5"/>
    <mergeCell ref="A29:A31"/>
    <mergeCell ref="C30:I30"/>
    <mergeCell ref="C31:I31"/>
    <mergeCell ref="J31:N31"/>
    <mergeCell ref="A1:A2"/>
    <mergeCell ref="B1:N2"/>
    <mergeCell ref="A3:A4"/>
    <mergeCell ref="J3:N4"/>
    <mergeCell ref="B3:B4"/>
    <mergeCell ref="C3:C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8" scale="71" fitToHeight="0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B7839-5199-4EC2-BCCF-239AE535AE1D}">
  <sheetPr>
    <pageSetUpPr fitToPage="1"/>
  </sheetPr>
  <dimension ref="A1:T43"/>
  <sheetViews>
    <sheetView topLeftCell="A3" workbookViewId="0">
      <selection activeCell="I25" sqref="I25"/>
    </sheetView>
  </sheetViews>
  <sheetFormatPr defaultRowHeight="15" x14ac:dyDescent="0.25"/>
  <cols>
    <col min="1" max="1" width="12.42578125" bestFit="1" customWidth="1"/>
    <col min="6" max="6" width="13.28515625" customWidth="1"/>
  </cols>
  <sheetData>
    <row r="1" spans="1:20" x14ac:dyDescent="0.25">
      <c r="A1" s="1189"/>
      <c r="B1" s="1286" t="s">
        <v>37</v>
      </c>
      <c r="C1" s="983"/>
      <c r="D1" s="983"/>
      <c r="E1" s="983"/>
      <c r="F1" s="983"/>
      <c r="G1" s="983"/>
      <c r="H1" s="983"/>
      <c r="I1" s="983"/>
      <c r="J1" s="983"/>
      <c r="K1" s="983"/>
      <c r="L1" s="983"/>
      <c r="M1" s="983"/>
      <c r="N1" s="984"/>
    </row>
    <row r="2" spans="1:20" ht="15.75" thickBot="1" x14ac:dyDescent="0.3">
      <c r="A2" s="1190"/>
      <c r="B2" s="1287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6"/>
    </row>
    <row r="3" spans="1:20" x14ac:dyDescent="0.25">
      <c r="A3" s="1190"/>
      <c r="B3" s="1288" t="s">
        <v>0</v>
      </c>
      <c r="C3" s="991" t="s">
        <v>4</v>
      </c>
      <c r="D3" s="1294" t="s">
        <v>18</v>
      </c>
      <c r="E3" s="999" t="s">
        <v>15</v>
      </c>
      <c r="F3" s="999" t="s">
        <v>3</v>
      </c>
      <c r="G3" s="999" t="s">
        <v>16</v>
      </c>
      <c r="H3" s="1001" t="s">
        <v>17</v>
      </c>
      <c r="I3" s="1290" t="s">
        <v>1</v>
      </c>
      <c r="J3" s="1292" t="s">
        <v>2</v>
      </c>
      <c r="K3" s="993"/>
      <c r="L3" s="993"/>
      <c r="M3" s="993"/>
      <c r="N3" s="994"/>
    </row>
    <row r="4" spans="1:20" ht="15.75" thickBot="1" x14ac:dyDescent="0.3">
      <c r="A4" s="1191"/>
      <c r="B4" s="1289"/>
      <c r="C4" s="992"/>
      <c r="D4" s="1295"/>
      <c r="E4" s="1000"/>
      <c r="F4" s="1000"/>
      <c r="G4" s="1000"/>
      <c r="H4" s="1002"/>
      <c r="I4" s="1291"/>
      <c r="J4" s="1293"/>
      <c r="K4" s="995"/>
      <c r="L4" s="995"/>
      <c r="M4" s="995"/>
      <c r="N4" s="996"/>
    </row>
    <row r="5" spans="1:20" ht="15.75" thickTop="1" x14ac:dyDescent="0.25">
      <c r="A5" s="55" t="s">
        <v>46</v>
      </c>
      <c r="B5" s="54"/>
      <c r="C5" s="63"/>
      <c r="D5" s="65"/>
      <c r="E5" s="64"/>
      <c r="F5" s="62"/>
      <c r="G5" s="62"/>
      <c r="H5" s="61"/>
      <c r="I5" s="56"/>
      <c r="J5" s="57">
        <v>1</v>
      </c>
      <c r="K5" s="58">
        <v>2</v>
      </c>
      <c r="L5" s="58">
        <v>3</v>
      </c>
      <c r="M5" s="60">
        <v>4</v>
      </c>
      <c r="N5" s="59">
        <v>5</v>
      </c>
      <c r="P5" s="1280" t="s">
        <v>59</v>
      </c>
      <c r="Q5" s="1281"/>
      <c r="R5" s="1281"/>
      <c r="S5" s="1281"/>
      <c r="T5" s="1282"/>
    </row>
    <row r="6" spans="1:20" x14ac:dyDescent="0.25">
      <c r="A6" s="89">
        <v>1</v>
      </c>
      <c r="B6" s="68">
        <f>'Plot By Plot SoA'!C98</f>
        <v>85</v>
      </c>
      <c r="C6" s="102">
        <f>'Plot By Plot SoA'!D98</f>
        <v>78</v>
      </c>
      <c r="D6" s="93">
        <f>'Plot By Plot SoA'!E98</f>
        <v>839.58420000000001</v>
      </c>
      <c r="E6" s="102"/>
      <c r="F6" s="75"/>
      <c r="G6" s="75"/>
      <c r="H6" s="103">
        <f>'Plot By Plot SoA'!J98</f>
        <v>0</v>
      </c>
      <c r="I6" s="92"/>
      <c r="J6" s="74">
        <f>'Plot By Plot SoA'!L98</f>
        <v>0</v>
      </c>
      <c r="K6" s="90"/>
      <c r="L6" s="75"/>
      <c r="M6" s="90"/>
      <c r="N6" s="73"/>
      <c r="P6" s="166"/>
      <c r="Q6" s="161" t="s">
        <v>54</v>
      </c>
      <c r="R6" s="161" t="s">
        <v>55</v>
      </c>
      <c r="S6" s="162" t="s">
        <v>56</v>
      </c>
      <c r="T6" s="165" t="s">
        <v>52</v>
      </c>
    </row>
    <row r="7" spans="1:20" x14ac:dyDescent="0.25">
      <c r="A7" s="67">
        <v>2</v>
      </c>
      <c r="B7" s="77">
        <f>'Plot By Plot SoA'!C99</f>
        <v>86</v>
      </c>
      <c r="C7" s="69">
        <f>'Plot By Plot SoA'!D99</f>
        <v>78</v>
      </c>
      <c r="D7" s="104">
        <f>'Plot By Plot SoA'!E99</f>
        <v>839.58420000000001</v>
      </c>
      <c r="E7" s="69"/>
      <c r="F7" s="76"/>
      <c r="G7" s="76"/>
      <c r="H7" s="72">
        <f>'Plot By Plot SoA'!J99</f>
        <v>0</v>
      </c>
      <c r="I7" s="73"/>
      <c r="J7" s="78">
        <f>'Plot By Plot SoA'!L99</f>
        <v>0</v>
      </c>
      <c r="K7" s="71"/>
      <c r="L7" s="76"/>
      <c r="M7" s="71"/>
      <c r="N7" s="73"/>
      <c r="P7" s="157" t="s">
        <v>28</v>
      </c>
      <c r="Q7" s="105">
        <v>0</v>
      </c>
      <c r="R7" s="105">
        <v>0</v>
      </c>
      <c r="S7" s="72">
        <v>12</v>
      </c>
      <c r="T7" s="73">
        <f>SUM(Q7:S7)</f>
        <v>12</v>
      </c>
    </row>
    <row r="8" spans="1:20" x14ac:dyDescent="0.25">
      <c r="A8" s="67">
        <v>3</v>
      </c>
      <c r="B8" s="77">
        <f>'Plot By Plot SoA'!C100</f>
        <v>87</v>
      </c>
      <c r="C8" s="69">
        <f>'Plot By Plot SoA'!D100</f>
        <v>99.1</v>
      </c>
      <c r="D8" s="104">
        <f>'Plot By Plot SoA'!E100</f>
        <v>1066.7024899999999</v>
      </c>
      <c r="E8" s="69"/>
      <c r="F8" s="76"/>
      <c r="G8" s="76"/>
      <c r="H8" s="72">
        <f>'Plot By Plot SoA'!J100</f>
        <v>0</v>
      </c>
      <c r="I8" s="73"/>
      <c r="J8" s="78">
        <f>'Plot By Plot SoA'!L100</f>
        <v>0</v>
      </c>
      <c r="K8" s="71"/>
      <c r="L8" s="76"/>
      <c r="M8" s="71"/>
      <c r="N8" s="73"/>
      <c r="P8" s="157" t="s">
        <v>29</v>
      </c>
      <c r="Q8" s="105">
        <v>2</v>
      </c>
      <c r="R8" s="105">
        <v>21</v>
      </c>
      <c r="S8" s="72">
        <v>0</v>
      </c>
      <c r="T8" s="73">
        <f>SUM(Q8:S8)</f>
        <v>23</v>
      </c>
    </row>
    <row r="9" spans="1:20" ht="15.75" thickBot="1" x14ac:dyDescent="0.3">
      <c r="A9" s="67">
        <v>4</v>
      </c>
      <c r="B9" s="77">
        <f>'Plot By Plot SoA'!C102</f>
        <v>88</v>
      </c>
      <c r="C9" s="69">
        <f>'Plot By Plot SoA'!D102</f>
        <v>131.4</v>
      </c>
      <c r="D9" s="104">
        <f>'Plot By Plot SoA'!E102</f>
        <v>1414.37646</v>
      </c>
      <c r="E9" s="69"/>
      <c r="F9" s="76"/>
      <c r="G9" s="76"/>
      <c r="H9" s="72">
        <f>'Plot By Plot SoA'!J102</f>
        <v>0</v>
      </c>
      <c r="I9" s="73"/>
      <c r="J9" s="78">
        <f>'Plot By Plot SoA'!L102</f>
        <v>0</v>
      </c>
      <c r="K9" s="71"/>
      <c r="L9" s="76"/>
      <c r="M9" s="71"/>
      <c r="N9" s="73"/>
      <c r="P9" s="167" t="s">
        <v>30</v>
      </c>
      <c r="Q9" s="163">
        <v>0</v>
      </c>
      <c r="R9" s="163">
        <v>0</v>
      </c>
      <c r="S9" s="164">
        <v>0</v>
      </c>
      <c r="T9" s="73">
        <f>SUM(Q9:S9)</f>
        <v>0</v>
      </c>
    </row>
    <row r="10" spans="1:20" ht="15.75" thickBot="1" x14ac:dyDescent="0.3">
      <c r="A10" s="67">
        <v>5</v>
      </c>
      <c r="B10" s="77">
        <f>'Plot By Plot SoA'!C104</f>
        <v>89</v>
      </c>
      <c r="C10" s="69">
        <f>'Plot By Plot SoA'!D104</f>
        <v>131.4</v>
      </c>
      <c r="D10" s="104">
        <f>'Plot By Plot SoA'!E104</f>
        <v>1414.37646</v>
      </c>
      <c r="E10" s="69"/>
      <c r="F10" s="76"/>
      <c r="G10" s="76"/>
      <c r="H10" s="72">
        <f>'Plot By Plot SoA'!J104</f>
        <v>0</v>
      </c>
      <c r="I10" s="73"/>
      <c r="J10" s="78">
        <f>'Plot By Plot SoA'!L104</f>
        <v>0</v>
      </c>
      <c r="K10" s="105"/>
      <c r="L10" s="76"/>
      <c r="M10" s="71"/>
      <c r="N10" s="73"/>
      <c r="P10" s="158" t="s">
        <v>52</v>
      </c>
      <c r="Q10" s="156">
        <f>SUM(Q7:Q9)</f>
        <v>2</v>
      </c>
      <c r="R10" s="156">
        <f>SUM(R7:R9)</f>
        <v>21</v>
      </c>
      <c r="S10" s="156">
        <f>SUM(S7:S9)</f>
        <v>12</v>
      </c>
      <c r="T10" s="155">
        <f>SUM(Q10:S10)</f>
        <v>35</v>
      </c>
    </row>
    <row r="11" spans="1:20" x14ac:dyDescent="0.25">
      <c r="A11" s="67">
        <v>6</v>
      </c>
      <c r="B11" s="77">
        <f>'Plot By Plot SoA'!C105</f>
        <v>90</v>
      </c>
      <c r="C11" s="69">
        <f>'Plot By Plot SoA'!D105</f>
        <v>77.099999999999994</v>
      </c>
      <c r="D11" s="104">
        <f>'Plot By Plot SoA'!E105</f>
        <v>829.89668999999992</v>
      </c>
      <c r="E11" s="69"/>
      <c r="F11" s="76"/>
      <c r="G11" s="76"/>
      <c r="H11" s="72">
        <f>'Plot By Plot SoA'!J105</f>
        <v>0</v>
      </c>
      <c r="I11" s="73"/>
      <c r="J11" s="78">
        <f>'Plot By Plot SoA'!L105</f>
        <v>0</v>
      </c>
      <c r="K11" s="71"/>
      <c r="L11" s="76"/>
      <c r="M11" s="71"/>
      <c r="N11" s="73"/>
    </row>
    <row r="12" spans="1:20" x14ac:dyDescent="0.25">
      <c r="A12" s="67">
        <v>7</v>
      </c>
      <c r="B12" s="77">
        <f>'Plot By Plot SoA'!C106</f>
        <v>91</v>
      </c>
      <c r="C12" s="69">
        <f>'Plot By Plot SoA'!D106</f>
        <v>70</v>
      </c>
      <c r="D12" s="104">
        <f>'Plot By Plot SoA'!E106</f>
        <v>753.47299999999996</v>
      </c>
      <c r="E12" s="69"/>
      <c r="F12" s="76"/>
      <c r="G12" s="76"/>
      <c r="H12" s="72">
        <f>'Plot By Plot SoA'!J106</f>
        <v>0</v>
      </c>
      <c r="I12" s="73"/>
      <c r="J12" s="78">
        <f>'Plot By Plot SoA'!L106</f>
        <v>0</v>
      </c>
      <c r="K12" s="71"/>
      <c r="L12" s="76"/>
      <c r="M12" s="71"/>
      <c r="N12" s="73"/>
    </row>
    <row r="13" spans="1:20" x14ac:dyDescent="0.25">
      <c r="A13" s="67">
        <v>8</v>
      </c>
      <c r="B13" s="77">
        <f>'Plot By Plot SoA'!C107</f>
        <v>92</v>
      </c>
      <c r="C13" s="69">
        <f>'Plot By Plot SoA'!D107</f>
        <v>70</v>
      </c>
      <c r="D13" s="104">
        <f>'Plot By Plot SoA'!E107</f>
        <v>753.47299999999996</v>
      </c>
      <c r="E13" s="69"/>
      <c r="F13" s="76"/>
      <c r="G13" s="76"/>
      <c r="H13" s="72">
        <f>'Plot By Plot SoA'!J107</f>
        <v>0</v>
      </c>
      <c r="I13" s="73"/>
      <c r="J13" s="78">
        <f>'Plot By Plot SoA'!L107</f>
        <v>0</v>
      </c>
      <c r="K13" s="71"/>
      <c r="L13" s="76"/>
      <c r="M13" s="76"/>
      <c r="N13" s="73"/>
    </row>
    <row r="14" spans="1:20" x14ac:dyDescent="0.25">
      <c r="A14" s="67">
        <v>9</v>
      </c>
      <c r="B14" s="77">
        <f>'Plot By Plot SoA'!C108</f>
        <v>93</v>
      </c>
      <c r="C14" s="69">
        <f>'Plot By Plot SoA'!D108</f>
        <v>76.599999999999994</v>
      </c>
      <c r="D14" s="104">
        <f>'Plot By Plot SoA'!E108</f>
        <v>824.51473999999996</v>
      </c>
      <c r="E14" s="69"/>
      <c r="F14" s="76"/>
      <c r="G14" s="76"/>
      <c r="H14" s="72">
        <f>'Plot By Plot SoA'!J108</f>
        <v>0</v>
      </c>
      <c r="I14" s="73"/>
      <c r="J14" s="78">
        <f>'Plot By Plot SoA'!L108</f>
        <v>0</v>
      </c>
      <c r="K14" s="71"/>
      <c r="L14" s="76"/>
      <c r="M14" s="76"/>
      <c r="N14" s="73"/>
    </row>
    <row r="15" spans="1:20" x14ac:dyDescent="0.25">
      <c r="A15" s="67">
        <v>10</v>
      </c>
      <c r="B15" s="77">
        <f>'Plot By Plot SoA'!C111</f>
        <v>95</v>
      </c>
      <c r="C15" s="69">
        <f>'Plot By Plot SoA'!D111</f>
        <v>80.3</v>
      </c>
      <c r="D15" s="104">
        <f>'Plot By Plot SoA'!E111</f>
        <v>864.34116999999992</v>
      </c>
      <c r="E15" s="69"/>
      <c r="F15" s="76"/>
      <c r="G15" s="76"/>
      <c r="H15" s="72">
        <f>'Plot By Plot SoA'!J111</f>
        <v>0</v>
      </c>
      <c r="I15" s="73"/>
      <c r="J15" s="78">
        <f>'Plot By Plot SoA'!L111</f>
        <v>0</v>
      </c>
      <c r="K15" s="71"/>
      <c r="L15" s="76"/>
      <c r="M15" s="76"/>
      <c r="N15" s="73"/>
    </row>
    <row r="16" spans="1:20" x14ac:dyDescent="0.25">
      <c r="A16" s="67">
        <v>11</v>
      </c>
      <c r="B16" s="77">
        <f>'Plot By Plot SoA'!C112</f>
        <v>96</v>
      </c>
      <c r="C16" s="69">
        <f>'Plot By Plot SoA'!D112</f>
        <v>81</v>
      </c>
      <c r="D16" s="104">
        <f>'Plot By Plot SoA'!E112</f>
        <v>871.8759</v>
      </c>
      <c r="E16" s="69"/>
      <c r="F16" s="76"/>
      <c r="G16" s="76">
        <f>'Plot By Plot SoA'!I112</f>
        <v>0</v>
      </c>
      <c r="H16" s="72"/>
      <c r="I16" s="73"/>
      <c r="J16" s="78"/>
      <c r="K16" s="71">
        <f>'Plot By Plot SoA'!M112</f>
        <v>0</v>
      </c>
      <c r="L16" s="76"/>
      <c r="M16" s="76"/>
      <c r="N16" s="73"/>
    </row>
    <row r="17" spans="1:14" x14ac:dyDescent="0.25">
      <c r="A17" s="67">
        <v>12</v>
      </c>
      <c r="B17" s="77">
        <f>'Plot By Plot SoA'!C117</f>
        <v>98</v>
      </c>
      <c r="C17" s="69">
        <f>'Plot By Plot SoA'!D117</f>
        <v>179.6</v>
      </c>
      <c r="D17" s="104">
        <f>'Plot By Plot SoA'!E117</f>
        <v>1933.1964399999999</v>
      </c>
      <c r="E17" s="69"/>
      <c r="F17" s="76"/>
      <c r="G17" s="76">
        <f>'Plot By Plot SoA'!I117</f>
        <v>0</v>
      </c>
      <c r="H17" s="72"/>
      <c r="I17" s="73"/>
      <c r="J17" s="78"/>
      <c r="K17" s="71">
        <f>'Plot By Plot SoA'!M117</f>
        <v>0</v>
      </c>
      <c r="L17" s="76"/>
      <c r="M17" s="76"/>
      <c r="N17" s="73"/>
    </row>
    <row r="18" spans="1:14" x14ac:dyDescent="0.25">
      <c r="A18" s="67">
        <v>13</v>
      </c>
      <c r="B18" s="77">
        <f>'Plot By Plot SoA'!C121</f>
        <v>100</v>
      </c>
      <c r="C18" s="69">
        <f>'Plot By Plot SoA'!D121</f>
        <v>95</v>
      </c>
      <c r="D18" s="104">
        <f>'Plot By Plot SoA'!E121</f>
        <v>1022.5704999999999</v>
      </c>
      <c r="E18" s="69"/>
      <c r="F18" s="76"/>
      <c r="G18" s="76">
        <f>'Plot By Plot SoA'!I121</f>
        <v>0</v>
      </c>
      <c r="H18" s="72"/>
      <c r="I18" s="73"/>
      <c r="J18" s="78"/>
      <c r="K18" s="71" t="str">
        <f>'Plot By Plot SoA'!M121</f>
        <v>Y</v>
      </c>
      <c r="L18" s="76"/>
      <c r="M18" s="76"/>
      <c r="N18" s="73"/>
    </row>
    <row r="19" spans="1:14" x14ac:dyDescent="0.25">
      <c r="A19" s="67">
        <v>14</v>
      </c>
      <c r="B19" s="77">
        <f>'Plot By Plot SoA'!C123</f>
        <v>102</v>
      </c>
      <c r="C19" s="69">
        <f>'Plot By Plot SoA'!D123</f>
        <v>83.1</v>
      </c>
      <c r="D19" s="104">
        <f>'Plot By Plot SoA'!E123</f>
        <v>894.4800899999999</v>
      </c>
      <c r="E19" s="69"/>
      <c r="F19" s="76"/>
      <c r="G19" s="76">
        <f>'Plot By Plot SoA'!I123</f>
        <v>0</v>
      </c>
      <c r="H19" s="72"/>
      <c r="I19" s="73"/>
      <c r="J19" s="78"/>
      <c r="K19" s="71">
        <f>'Plot By Plot SoA'!M123</f>
        <v>0</v>
      </c>
      <c r="L19" s="76"/>
      <c r="M19" s="76"/>
      <c r="N19" s="73"/>
    </row>
    <row r="20" spans="1:14" x14ac:dyDescent="0.25">
      <c r="A20" s="67">
        <v>15</v>
      </c>
      <c r="B20" s="77">
        <f>'Plot By Plot SoA'!C126</f>
        <v>104</v>
      </c>
      <c r="C20" s="69">
        <f>'Plot By Plot SoA'!D126</f>
        <v>94.4</v>
      </c>
      <c r="D20" s="104">
        <f>'Plot By Plot SoA'!E126</f>
        <v>1016.11216</v>
      </c>
      <c r="E20" s="69"/>
      <c r="F20" s="76"/>
      <c r="G20" s="76">
        <f>'Plot By Plot SoA'!I126</f>
        <v>0</v>
      </c>
      <c r="H20" s="72"/>
      <c r="I20" s="73"/>
      <c r="J20" s="78"/>
      <c r="K20" s="71" t="str">
        <f>'Plot By Plot SoA'!M126</f>
        <v>Y</v>
      </c>
      <c r="L20" s="76"/>
      <c r="M20" s="76"/>
      <c r="N20" s="73"/>
    </row>
    <row r="21" spans="1:14" x14ac:dyDescent="0.25">
      <c r="A21" s="67">
        <v>16</v>
      </c>
      <c r="B21" s="77">
        <f>'Plot By Plot SoA'!C129</f>
        <v>106</v>
      </c>
      <c r="C21" s="69">
        <f>'Plot By Plot SoA'!D129</f>
        <v>89.4</v>
      </c>
      <c r="D21" s="104">
        <f>'Plot By Plot SoA'!E129</f>
        <v>962.29266000000007</v>
      </c>
      <c r="E21" s="69"/>
      <c r="F21" s="76"/>
      <c r="G21" s="76">
        <f>'Plot By Plot SoA'!I129</f>
        <v>0</v>
      </c>
      <c r="H21" s="72"/>
      <c r="I21" s="73"/>
      <c r="J21" s="78"/>
      <c r="K21" s="71">
        <f>'Plot By Plot SoA'!M129</f>
        <v>0</v>
      </c>
      <c r="L21" s="76"/>
      <c r="M21" s="76"/>
      <c r="N21" s="73"/>
    </row>
    <row r="22" spans="1:14" x14ac:dyDescent="0.25">
      <c r="A22" s="67">
        <v>17</v>
      </c>
      <c r="B22" s="77">
        <f>'Plot By Plot SoA'!C131</f>
        <v>108</v>
      </c>
      <c r="C22" s="69">
        <f>'Plot By Plot SoA'!D131</f>
        <v>108</v>
      </c>
      <c r="D22" s="104">
        <f>'Plot By Plot SoA'!E131</f>
        <v>1162.5011999999999</v>
      </c>
      <c r="E22" s="69"/>
      <c r="F22" s="76"/>
      <c r="G22" s="76">
        <f>'Plot By Plot SoA'!I131</f>
        <v>0</v>
      </c>
      <c r="H22" s="72"/>
      <c r="I22" s="73"/>
      <c r="J22" s="78"/>
      <c r="K22" s="71">
        <f>'Plot By Plot SoA'!M131</f>
        <v>0</v>
      </c>
      <c r="L22" s="76"/>
      <c r="M22" s="76"/>
      <c r="N22" s="73"/>
    </row>
    <row r="23" spans="1:14" x14ac:dyDescent="0.25">
      <c r="A23" s="67">
        <v>18</v>
      </c>
      <c r="B23" s="77">
        <f>'Plot By Plot SoA'!C133</f>
        <v>110</v>
      </c>
      <c r="C23" s="69">
        <f>'Plot By Plot SoA'!D133</f>
        <v>72.900000000000006</v>
      </c>
      <c r="D23" s="104">
        <f>'Plot By Plot SoA'!E133</f>
        <v>784.68831</v>
      </c>
      <c r="E23" s="69"/>
      <c r="F23" s="76"/>
      <c r="G23" s="76">
        <f>'Plot By Plot SoA'!I133</f>
        <v>0</v>
      </c>
      <c r="H23" s="72"/>
      <c r="I23" s="73"/>
      <c r="J23" s="78"/>
      <c r="K23" s="71" t="str">
        <f>'Plot By Plot SoA'!M133</f>
        <v>Y</v>
      </c>
      <c r="L23" s="76"/>
      <c r="M23" s="76"/>
      <c r="N23" s="73"/>
    </row>
    <row r="24" spans="1:14" x14ac:dyDescent="0.25">
      <c r="A24" s="67">
        <v>19</v>
      </c>
      <c r="B24" s="77">
        <f>'Plot By Plot SoA'!C135</f>
        <v>112</v>
      </c>
      <c r="C24" s="69">
        <f>'Plot By Plot SoA'!D135</f>
        <v>100.4</v>
      </c>
      <c r="D24" s="104">
        <f>'Plot By Plot SoA'!E135</f>
        <v>1080.6955600000001</v>
      </c>
      <c r="E24" s="69"/>
      <c r="F24" s="76"/>
      <c r="G24" s="76">
        <f>'Plot By Plot SoA'!I135</f>
        <v>0</v>
      </c>
      <c r="H24" s="72"/>
      <c r="I24" s="73"/>
      <c r="J24" s="78"/>
      <c r="K24" s="71">
        <f>'Plot By Plot SoA'!M135</f>
        <v>0</v>
      </c>
      <c r="L24" s="76"/>
      <c r="M24" s="76"/>
      <c r="N24" s="73"/>
    </row>
    <row r="25" spans="1:14" x14ac:dyDescent="0.25">
      <c r="A25" s="67">
        <v>20</v>
      </c>
      <c r="B25" s="77">
        <f>'Plot By Plot SoA'!C138</f>
        <v>114</v>
      </c>
      <c r="C25" s="69">
        <f>'Plot By Plot SoA'!D138</f>
        <v>100.4</v>
      </c>
      <c r="D25" s="104">
        <f>'Plot By Plot SoA'!E138</f>
        <v>1080.6955600000001</v>
      </c>
      <c r="E25" s="69"/>
      <c r="F25" s="76"/>
      <c r="G25" s="76">
        <f>'Plot By Plot SoA'!I138</f>
        <v>0</v>
      </c>
      <c r="H25" s="72"/>
      <c r="I25" s="73"/>
      <c r="J25" s="78"/>
      <c r="K25" s="71">
        <f>'Plot By Plot SoA'!M138</f>
        <v>0</v>
      </c>
      <c r="L25" s="76"/>
      <c r="M25" s="76"/>
      <c r="N25" s="73"/>
    </row>
    <row r="26" spans="1:14" x14ac:dyDescent="0.25">
      <c r="A26" s="67">
        <v>21</v>
      </c>
      <c r="B26" s="77">
        <f>'Plot By Plot SoA'!C140</f>
        <v>116</v>
      </c>
      <c r="C26" s="69">
        <f>'Plot By Plot SoA'!D140</f>
        <v>87.7</v>
      </c>
      <c r="D26" s="104">
        <f>'Plot By Plot SoA'!E140</f>
        <v>943.99402999999995</v>
      </c>
      <c r="E26" s="69"/>
      <c r="F26" s="76"/>
      <c r="G26" s="76">
        <f>'Plot By Plot SoA'!I140</f>
        <v>0</v>
      </c>
      <c r="H26" s="72"/>
      <c r="I26" s="73"/>
      <c r="J26" s="78"/>
      <c r="K26" s="71" t="str">
        <f>'Plot By Plot SoA'!M140</f>
        <v>Y</v>
      </c>
      <c r="L26" s="76"/>
      <c r="M26" s="76"/>
      <c r="N26" s="73"/>
    </row>
    <row r="27" spans="1:14" x14ac:dyDescent="0.25">
      <c r="A27" s="67">
        <v>22</v>
      </c>
      <c r="B27" s="77">
        <f>'Plot By Plot SoA'!C143</f>
        <v>118</v>
      </c>
      <c r="C27" s="69">
        <f>'Plot By Plot SoA'!D143</f>
        <v>95</v>
      </c>
      <c r="D27" s="104">
        <f>'Plot By Plot SoA'!E143</f>
        <v>1022.5704999999999</v>
      </c>
      <c r="E27" s="69"/>
      <c r="F27" s="76"/>
      <c r="G27" s="76"/>
      <c r="H27" s="72">
        <f>'Plot By Plot SoA'!J143</f>
        <v>0</v>
      </c>
      <c r="I27" s="73"/>
      <c r="J27" s="78">
        <f>'Plot By Plot SoA'!L143</f>
        <v>0</v>
      </c>
      <c r="K27" s="71"/>
      <c r="L27" s="76"/>
      <c r="M27" s="76"/>
      <c r="N27" s="73"/>
    </row>
    <row r="28" spans="1:14" x14ac:dyDescent="0.25">
      <c r="A28" s="67">
        <v>23</v>
      </c>
      <c r="B28" s="77">
        <f>'Plot By Plot SoA'!C144</f>
        <v>119</v>
      </c>
      <c r="C28" s="69">
        <f>'Plot By Plot SoA'!D144</f>
        <v>95</v>
      </c>
      <c r="D28" s="104">
        <f>'Plot By Plot SoA'!E144</f>
        <v>1022.5704999999999</v>
      </c>
      <c r="E28" s="69"/>
      <c r="F28" s="76"/>
      <c r="G28" s="76"/>
      <c r="H28" s="72">
        <f>'Plot By Plot SoA'!J144</f>
        <v>0</v>
      </c>
      <c r="I28" s="73"/>
      <c r="J28" s="78">
        <f>'Plot By Plot SoA'!L144</f>
        <v>0</v>
      </c>
      <c r="K28" s="71"/>
      <c r="L28" s="76"/>
      <c r="M28" s="76"/>
      <c r="N28" s="73"/>
    </row>
    <row r="29" spans="1:14" x14ac:dyDescent="0.25">
      <c r="A29" s="67">
        <v>24</v>
      </c>
      <c r="B29" s="77">
        <f>'Plot By Plot SoA'!C145</f>
        <v>120</v>
      </c>
      <c r="C29" s="69">
        <f>'Plot By Plot SoA'!D145</f>
        <v>83.1</v>
      </c>
      <c r="D29" s="104">
        <f>'Plot By Plot SoA'!E145</f>
        <v>894.4800899999999</v>
      </c>
      <c r="E29" s="69"/>
      <c r="F29" s="76"/>
      <c r="G29" s="76">
        <f>'Plot By Plot SoA'!I145</f>
        <v>0</v>
      </c>
      <c r="H29" s="72"/>
      <c r="I29" s="73"/>
      <c r="J29" s="78"/>
      <c r="K29" s="71">
        <f>'Plot By Plot SoA'!M145</f>
        <v>0</v>
      </c>
      <c r="L29" s="76"/>
      <c r="M29" s="76"/>
      <c r="N29" s="73"/>
    </row>
    <row r="30" spans="1:14" x14ac:dyDescent="0.25">
      <c r="A30" s="67">
        <v>25</v>
      </c>
      <c r="B30" s="77">
        <f>'Plot By Plot SoA'!C148</f>
        <v>122</v>
      </c>
      <c r="C30" s="69">
        <f>'Plot By Plot SoA'!D148</f>
        <v>77.5</v>
      </c>
      <c r="D30" s="104">
        <f>'Plot By Plot SoA'!E148</f>
        <v>834.20224999999994</v>
      </c>
      <c r="E30" s="69"/>
      <c r="F30" s="76"/>
      <c r="G30" s="76">
        <f>'Plot By Plot SoA'!I148</f>
        <v>0</v>
      </c>
      <c r="H30" s="72"/>
      <c r="I30" s="73"/>
      <c r="J30" s="78"/>
      <c r="K30" s="71" t="str">
        <f>'Plot By Plot SoA'!M148</f>
        <v>Y</v>
      </c>
      <c r="L30" s="76"/>
      <c r="M30" s="76"/>
      <c r="N30" s="73"/>
    </row>
    <row r="31" spans="1:14" x14ac:dyDescent="0.25">
      <c r="A31" s="67">
        <v>26</v>
      </c>
      <c r="B31" s="77">
        <f>'Plot By Plot SoA'!C150</f>
        <v>124</v>
      </c>
      <c r="C31" s="69">
        <f>'Plot By Plot SoA'!D150</f>
        <v>99</v>
      </c>
      <c r="D31" s="104">
        <f>'Plot By Plot SoA'!E150</f>
        <v>1065.6261</v>
      </c>
      <c r="E31" s="69"/>
      <c r="F31" s="76"/>
      <c r="G31" s="76">
        <f>'Plot By Plot SoA'!I150</f>
        <v>0</v>
      </c>
      <c r="H31" s="72"/>
      <c r="I31" s="73"/>
      <c r="J31" s="78"/>
      <c r="K31" s="71" t="str">
        <f>'Plot By Plot SoA'!M150</f>
        <v>Y</v>
      </c>
      <c r="L31" s="76"/>
      <c r="M31" s="76"/>
      <c r="N31" s="73"/>
    </row>
    <row r="32" spans="1:14" x14ac:dyDescent="0.25">
      <c r="A32" s="67">
        <v>27</v>
      </c>
      <c r="B32" s="77">
        <f>'Plot By Plot SoA'!C152</f>
        <v>126</v>
      </c>
      <c r="C32" s="69">
        <f>'Plot By Plot SoA'!D152</f>
        <v>75.3</v>
      </c>
      <c r="D32" s="104">
        <f>'Plot By Plot SoA'!E152</f>
        <v>810.52166999999997</v>
      </c>
      <c r="E32" s="69"/>
      <c r="F32" s="76"/>
      <c r="G32" s="76">
        <f>'Plot By Plot SoA'!I152</f>
        <v>0</v>
      </c>
      <c r="H32" s="72"/>
      <c r="I32" s="73"/>
      <c r="J32" s="78"/>
      <c r="K32" s="71" t="str">
        <f>'Plot By Plot SoA'!M152</f>
        <v>Y</v>
      </c>
      <c r="L32" s="76"/>
      <c r="M32" s="76"/>
      <c r="N32" s="73"/>
    </row>
    <row r="33" spans="1:14" x14ac:dyDescent="0.25">
      <c r="A33" s="67">
        <v>28</v>
      </c>
      <c r="B33" s="77">
        <f>'Plot By Plot SoA'!C154</f>
        <v>128</v>
      </c>
      <c r="C33" s="69">
        <f>'Plot By Plot SoA'!D154</f>
        <v>70.599999999999994</v>
      </c>
      <c r="D33" s="104">
        <f>'Plot By Plot SoA'!E154</f>
        <v>759.93133999999986</v>
      </c>
      <c r="E33" s="69"/>
      <c r="F33" s="76"/>
      <c r="G33" s="76">
        <f>'Plot By Plot SoA'!I154</f>
        <v>0</v>
      </c>
      <c r="H33" s="72"/>
      <c r="I33" s="73"/>
      <c r="J33" s="78"/>
      <c r="K33" s="71" t="str">
        <f>'Plot By Plot SoA'!M154</f>
        <v>Y</v>
      </c>
      <c r="L33" s="76"/>
      <c r="M33" s="76"/>
      <c r="N33" s="73"/>
    </row>
    <row r="34" spans="1:14" x14ac:dyDescent="0.25">
      <c r="A34" s="67">
        <v>29</v>
      </c>
      <c r="B34" s="77">
        <f>'Plot By Plot SoA'!C156</f>
        <v>130</v>
      </c>
      <c r="C34" s="69">
        <f>'Plot By Plot SoA'!D156</f>
        <v>108.2</v>
      </c>
      <c r="D34" s="104">
        <f>'Plot By Plot SoA'!E156</f>
        <v>1164.65398</v>
      </c>
      <c r="E34" s="69"/>
      <c r="F34" s="76"/>
      <c r="G34" s="76">
        <f>'Plot By Plot SoA'!I156</f>
        <v>0</v>
      </c>
      <c r="H34" s="72"/>
      <c r="I34" s="73"/>
      <c r="J34" s="78"/>
      <c r="K34" s="71">
        <f>'Plot By Plot SoA'!M156</f>
        <v>0</v>
      </c>
      <c r="L34" s="76"/>
      <c r="M34" s="76"/>
      <c r="N34" s="73"/>
    </row>
    <row r="35" spans="1:14" x14ac:dyDescent="0.25">
      <c r="A35" s="67">
        <v>30</v>
      </c>
      <c r="B35" s="77">
        <f>'Plot By Plot SoA'!C160</f>
        <v>132</v>
      </c>
      <c r="C35" s="69">
        <f>'Plot By Plot SoA'!D160</f>
        <v>72.599999999999994</v>
      </c>
      <c r="D35" s="104">
        <f>'Plot By Plot SoA'!E160</f>
        <v>781.45913999999993</v>
      </c>
      <c r="E35" s="69"/>
      <c r="F35" s="76"/>
      <c r="G35" s="76">
        <f>'Plot By Plot SoA'!I160</f>
        <v>0</v>
      </c>
      <c r="H35" s="72"/>
      <c r="I35" s="73"/>
      <c r="J35" s="78"/>
      <c r="K35" s="71" t="str">
        <f>'Plot By Plot SoA'!M160</f>
        <v>Y</v>
      </c>
      <c r="L35" s="76"/>
      <c r="M35" s="76"/>
      <c r="N35" s="73"/>
    </row>
    <row r="36" spans="1:14" x14ac:dyDescent="0.25">
      <c r="A36" s="67">
        <v>31</v>
      </c>
      <c r="B36" s="77">
        <f>'Plot By Plot SoA'!C163</f>
        <v>134</v>
      </c>
      <c r="C36" s="69">
        <f>'Plot By Plot SoA'!D163</f>
        <v>97.1</v>
      </c>
      <c r="D36" s="104">
        <f>'Plot By Plot SoA'!E163</f>
        <v>1045.1746899999998</v>
      </c>
      <c r="E36" s="69"/>
      <c r="F36" s="76"/>
      <c r="G36" s="76">
        <f>'Plot By Plot SoA'!I163</f>
        <v>0</v>
      </c>
      <c r="H36" s="72"/>
      <c r="I36" s="73"/>
      <c r="J36" s="78"/>
      <c r="K36" s="71">
        <f>'Plot By Plot SoA'!M163</f>
        <v>0</v>
      </c>
      <c r="L36" s="76"/>
      <c r="M36" s="76"/>
      <c r="N36" s="73"/>
    </row>
    <row r="37" spans="1:14" x14ac:dyDescent="0.25">
      <c r="A37" s="67">
        <v>32</v>
      </c>
      <c r="B37" s="77">
        <f>'Plot By Plot SoA'!C166</f>
        <v>136</v>
      </c>
      <c r="C37" s="69">
        <f>'Plot By Plot SoA'!D166</f>
        <v>88.5</v>
      </c>
      <c r="D37" s="104">
        <f>'Plot By Plot SoA'!E166</f>
        <v>952.60514999999998</v>
      </c>
      <c r="E37" s="69"/>
      <c r="F37" s="76"/>
      <c r="G37" s="76">
        <f>'Plot By Plot SoA'!I166</f>
        <v>0</v>
      </c>
      <c r="H37" s="72"/>
      <c r="I37" s="73"/>
      <c r="J37" s="78"/>
      <c r="K37" s="71">
        <f>'Plot By Plot SoA'!M166</f>
        <v>0</v>
      </c>
      <c r="L37" s="76"/>
      <c r="M37" s="76"/>
      <c r="N37" s="73"/>
    </row>
    <row r="38" spans="1:14" x14ac:dyDescent="0.25">
      <c r="A38" s="67">
        <v>33</v>
      </c>
      <c r="B38" s="77">
        <f>'Plot By Plot SoA'!C168</f>
        <v>138</v>
      </c>
      <c r="C38" s="69">
        <f>'Plot By Plot SoA'!D168</f>
        <v>90.7</v>
      </c>
      <c r="D38" s="104">
        <f>'Plot By Plot SoA'!E168</f>
        <v>976.28572999999994</v>
      </c>
      <c r="E38" s="69"/>
      <c r="F38" s="76"/>
      <c r="G38" s="76">
        <f>'Plot By Plot SoA'!I168</f>
        <v>0</v>
      </c>
      <c r="H38" s="72"/>
      <c r="I38" s="73"/>
      <c r="J38" s="78"/>
      <c r="K38" s="71" t="str">
        <f>'Plot By Plot SoA'!M168</f>
        <v>Y</v>
      </c>
      <c r="L38" s="76"/>
      <c r="M38" s="76"/>
      <c r="N38" s="73"/>
    </row>
    <row r="39" spans="1:14" x14ac:dyDescent="0.25">
      <c r="A39" s="67">
        <v>34</v>
      </c>
      <c r="B39" s="77">
        <f>'Plot By Plot SoA'!C170</f>
        <v>140</v>
      </c>
      <c r="C39" s="69">
        <f>'Plot By Plot SoA'!D170</f>
        <v>87.6</v>
      </c>
      <c r="D39" s="104">
        <f>'Plot By Plot SoA'!E170</f>
        <v>942.91763999999989</v>
      </c>
      <c r="E39" s="69"/>
      <c r="F39" s="76">
        <f>'Plot By Plot SoA'!H170</f>
        <v>0</v>
      </c>
      <c r="G39" s="76"/>
      <c r="H39" s="72"/>
      <c r="I39" s="73"/>
      <c r="J39" s="78"/>
      <c r="K39" s="71" t="str">
        <f>'Plot By Plot SoA'!M170</f>
        <v>Y</v>
      </c>
      <c r="L39" s="76"/>
      <c r="M39" s="76"/>
      <c r="N39" s="73"/>
    </row>
    <row r="40" spans="1:14" ht="15.75" thickBot="1" x14ac:dyDescent="0.3">
      <c r="A40" s="80">
        <v>35</v>
      </c>
      <c r="B40" s="81">
        <f>'Plot By Plot SoA'!C171</f>
        <v>141</v>
      </c>
      <c r="C40" s="82">
        <f>'Plot By Plot SoA'!D171</f>
        <v>97.3</v>
      </c>
      <c r="D40" s="106">
        <f>'Plot By Plot SoA'!E171</f>
        <v>1047.3274699999999</v>
      </c>
      <c r="E40" s="82"/>
      <c r="F40" s="88">
        <f>'Plot By Plot SoA'!H171</f>
        <v>0</v>
      </c>
      <c r="G40" s="88"/>
      <c r="H40" s="85"/>
      <c r="I40" s="73"/>
      <c r="J40" s="87"/>
      <c r="K40" s="105">
        <f>'Plot By Plot SoA'!M171</f>
        <v>0</v>
      </c>
      <c r="L40" s="88"/>
      <c r="M40" s="88"/>
      <c r="N40" s="73"/>
    </row>
    <row r="41" spans="1:14" ht="45.75" thickBot="1" x14ac:dyDescent="0.3">
      <c r="A41" s="1283"/>
      <c r="B41" s="48" t="s">
        <v>5</v>
      </c>
      <c r="C41" s="45"/>
      <c r="D41" s="46"/>
      <c r="E41" s="10">
        <f>COUNTA(E6:E40)</f>
        <v>0</v>
      </c>
      <c r="F41" s="10">
        <f>COUNTA(F6:F40)</f>
        <v>2</v>
      </c>
      <c r="G41" s="10">
        <f>COUNTA(G6:G40)</f>
        <v>21</v>
      </c>
      <c r="H41" s="10">
        <f>COUNTA(H6:H40)</f>
        <v>12</v>
      </c>
      <c r="I41" s="100"/>
      <c r="J41" s="99">
        <f>COUNTA(J6:J40)</f>
        <v>12</v>
      </c>
      <c r="K41" s="14">
        <f>COUNTA(K6:K40)</f>
        <v>23</v>
      </c>
      <c r="L41" s="14">
        <f>COUNTA(L6:L40)</f>
        <v>0</v>
      </c>
      <c r="M41" s="14">
        <f>COUNTA(M6:M40)</f>
        <v>0</v>
      </c>
      <c r="N41" s="101">
        <f>COUNTA(N6:N40)</f>
        <v>0</v>
      </c>
    </row>
    <row r="42" spans="1:14" ht="30.75" thickBot="1" x14ac:dyDescent="0.3">
      <c r="A42" s="1284"/>
      <c r="B42" s="49" t="s">
        <v>6</v>
      </c>
      <c r="C42" s="1274">
        <f>SUM(C18:C40)</f>
        <v>2068.7999999999997</v>
      </c>
      <c r="D42" s="1275"/>
      <c r="E42" s="1275"/>
      <c r="F42" s="1275"/>
      <c r="G42" s="1275"/>
      <c r="H42" s="1275"/>
      <c r="I42" s="1276"/>
      <c r="J42" s="51">
        <f>SUM(1/J43*J41)</f>
        <v>0.34285714285714286</v>
      </c>
      <c r="K42" s="52">
        <f>SUM(1/J43*K41)</f>
        <v>0.65714285714285714</v>
      </c>
      <c r="L42" s="52">
        <f>SUM(1/J43*L41)</f>
        <v>0</v>
      </c>
      <c r="M42" s="52">
        <f>SUM(1/J43*M41)</f>
        <v>0</v>
      </c>
      <c r="N42" s="53">
        <f>SUM(1/J43*N41)</f>
        <v>0</v>
      </c>
    </row>
    <row r="43" spans="1:14" ht="45.75" thickBot="1" x14ac:dyDescent="0.3">
      <c r="A43" s="1285"/>
      <c r="B43" s="50" t="s">
        <v>7</v>
      </c>
      <c r="C43" s="1105">
        <f>SUM(C42*10.7639)</f>
        <v>22268.356319999995</v>
      </c>
      <c r="D43" s="1106"/>
      <c r="E43" s="1106"/>
      <c r="F43" s="1106"/>
      <c r="G43" s="1106"/>
      <c r="H43" s="1106"/>
      <c r="I43" s="1107"/>
      <c r="J43" s="1277">
        <f>SUM(J41:N41)</f>
        <v>35</v>
      </c>
      <c r="K43" s="1278"/>
      <c r="L43" s="1278"/>
      <c r="M43" s="1278"/>
      <c r="N43" s="1279"/>
    </row>
  </sheetData>
  <mergeCells count="17">
    <mergeCell ref="A1:A2"/>
    <mergeCell ref="B1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N4"/>
    <mergeCell ref="A41:A43"/>
    <mergeCell ref="C42:I42"/>
    <mergeCell ref="C43:I43"/>
    <mergeCell ref="J43:N43"/>
    <mergeCell ref="P5:T5"/>
  </mergeCells>
  <pageMargins left="0.7" right="0.7" top="0.75" bottom="0.75" header="0.3" footer="0.3"/>
  <pageSetup paperSize="8" scale="69" fitToHeight="0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DEDD0-9717-44D6-9149-091904CE8802}">
  <sheetPr>
    <pageSetUpPr fitToPage="1"/>
  </sheetPr>
  <dimension ref="A1:T92"/>
  <sheetViews>
    <sheetView topLeftCell="A63" workbookViewId="0">
      <selection activeCell="I25" sqref="I25"/>
    </sheetView>
  </sheetViews>
  <sheetFormatPr defaultRowHeight="15" x14ac:dyDescent="0.25"/>
  <cols>
    <col min="1" max="1" width="12.42578125" bestFit="1" customWidth="1"/>
    <col min="6" max="6" width="12.140625" customWidth="1"/>
    <col min="17" max="17" width="10.5703125" customWidth="1"/>
  </cols>
  <sheetData>
    <row r="1" spans="1:20" x14ac:dyDescent="0.25">
      <c r="A1" s="1189"/>
      <c r="B1" s="1286" t="s">
        <v>37</v>
      </c>
      <c r="C1" s="983"/>
      <c r="D1" s="983"/>
      <c r="E1" s="983"/>
      <c r="F1" s="983"/>
      <c r="G1" s="983"/>
      <c r="H1" s="983"/>
      <c r="I1" s="983"/>
      <c r="J1" s="983"/>
      <c r="K1" s="983"/>
      <c r="L1" s="983"/>
      <c r="M1" s="983"/>
      <c r="N1" s="984"/>
    </row>
    <row r="2" spans="1:20" ht="15.75" thickBot="1" x14ac:dyDescent="0.3">
      <c r="A2" s="1190"/>
      <c r="B2" s="1287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6"/>
    </row>
    <row r="3" spans="1:20" x14ac:dyDescent="0.25">
      <c r="A3" s="1190"/>
      <c r="B3" s="1288" t="s">
        <v>0</v>
      </c>
      <c r="C3" s="991" t="s">
        <v>4</v>
      </c>
      <c r="D3" s="1294" t="s">
        <v>18</v>
      </c>
      <c r="E3" s="999" t="s">
        <v>15</v>
      </c>
      <c r="F3" s="999" t="s">
        <v>3</v>
      </c>
      <c r="G3" s="999" t="s">
        <v>16</v>
      </c>
      <c r="H3" s="1001" t="s">
        <v>17</v>
      </c>
      <c r="I3" s="1290" t="s">
        <v>1</v>
      </c>
      <c r="J3" s="1292" t="s">
        <v>2</v>
      </c>
      <c r="K3" s="993"/>
      <c r="L3" s="993"/>
      <c r="M3" s="993"/>
      <c r="N3" s="994"/>
    </row>
    <row r="4" spans="1:20" ht="15.75" thickBot="1" x14ac:dyDescent="0.3">
      <c r="A4" s="1191"/>
      <c r="B4" s="1289"/>
      <c r="C4" s="992"/>
      <c r="D4" s="1295"/>
      <c r="E4" s="1000"/>
      <c r="F4" s="1000"/>
      <c r="G4" s="1000"/>
      <c r="H4" s="1002"/>
      <c r="I4" s="1291"/>
      <c r="J4" s="1293"/>
      <c r="K4" s="995"/>
      <c r="L4" s="995"/>
      <c r="M4" s="995"/>
      <c r="N4" s="996"/>
    </row>
    <row r="5" spans="1:20" ht="15.75" thickTop="1" x14ac:dyDescent="0.25">
      <c r="A5" s="55" t="s">
        <v>46</v>
      </c>
      <c r="B5" s="54"/>
      <c r="C5" s="63"/>
      <c r="D5" s="65"/>
      <c r="E5" s="64"/>
      <c r="F5" s="62"/>
      <c r="G5" s="62"/>
      <c r="H5" s="61"/>
      <c r="I5" s="56"/>
      <c r="J5" s="57">
        <v>1</v>
      </c>
      <c r="K5" s="58">
        <v>2</v>
      </c>
      <c r="L5" s="58">
        <v>3</v>
      </c>
      <c r="M5" s="60">
        <v>4</v>
      </c>
      <c r="N5" s="59">
        <v>5</v>
      </c>
      <c r="P5" s="1280" t="s">
        <v>59</v>
      </c>
      <c r="Q5" s="1281"/>
      <c r="R5" s="1281"/>
      <c r="S5" s="1281"/>
      <c r="T5" s="1282"/>
    </row>
    <row r="6" spans="1:20" s="27" customFormat="1" x14ac:dyDescent="0.35">
      <c r="A6" s="89">
        <v>1</v>
      </c>
      <c r="B6" s="103">
        <f>'Plot By Plot SoA'!C98</f>
        <v>85</v>
      </c>
      <c r="C6" s="102">
        <f>'Plot By Plot SoA'!D98</f>
        <v>78</v>
      </c>
      <c r="D6" s="93">
        <f>'Plot By Plot SoA'!E98</f>
        <v>839.58420000000001</v>
      </c>
      <c r="E6" s="102"/>
      <c r="F6" s="90"/>
      <c r="G6" s="105"/>
      <c r="H6" s="90">
        <f>'Plot By Plot SoA'!J98</f>
        <v>0</v>
      </c>
      <c r="I6" s="92"/>
      <c r="J6" s="74">
        <f>'Plot By Plot SoA'!L98</f>
        <v>0</v>
      </c>
      <c r="K6" s="75"/>
      <c r="L6" s="105"/>
      <c r="M6" s="137"/>
      <c r="N6" s="138"/>
      <c r="P6" s="166"/>
      <c r="Q6" s="161" t="s">
        <v>54</v>
      </c>
      <c r="R6" s="161" t="s">
        <v>55</v>
      </c>
      <c r="S6" s="162" t="s">
        <v>56</v>
      </c>
      <c r="T6" s="165" t="s">
        <v>52</v>
      </c>
    </row>
    <row r="7" spans="1:20" s="27" customFormat="1" x14ac:dyDescent="0.35">
      <c r="A7" s="67">
        <v>2</v>
      </c>
      <c r="B7" s="72">
        <f>'Plot By Plot SoA'!C99</f>
        <v>86</v>
      </c>
      <c r="C7" s="69">
        <f>'Plot By Plot SoA'!D99</f>
        <v>78</v>
      </c>
      <c r="D7" s="104">
        <f>'Plot By Plot SoA'!E99</f>
        <v>839.58420000000001</v>
      </c>
      <c r="E7" s="69"/>
      <c r="F7" s="76"/>
      <c r="G7" s="76"/>
      <c r="H7" s="76">
        <f>'Plot By Plot SoA'!J99</f>
        <v>0</v>
      </c>
      <c r="I7" s="73"/>
      <c r="J7" s="78">
        <f>'Plot By Plot SoA'!L99</f>
        <v>0</v>
      </c>
      <c r="K7" s="76"/>
      <c r="L7" s="71"/>
      <c r="M7" s="71"/>
      <c r="N7" s="73"/>
      <c r="P7" s="157" t="s">
        <v>28</v>
      </c>
      <c r="Q7" s="105">
        <v>0</v>
      </c>
      <c r="R7" s="105">
        <v>0</v>
      </c>
      <c r="S7" s="72">
        <v>12</v>
      </c>
      <c r="T7" s="73">
        <f>SUM(Q7:S7)</f>
        <v>12</v>
      </c>
    </row>
    <row r="8" spans="1:20" s="27" customFormat="1" x14ac:dyDescent="0.35">
      <c r="A8" s="67">
        <v>3</v>
      </c>
      <c r="B8" s="72">
        <f>'Plot By Plot SoA'!C100</f>
        <v>87</v>
      </c>
      <c r="C8" s="69">
        <f>'Plot By Plot SoA'!D100</f>
        <v>99.1</v>
      </c>
      <c r="D8" s="104">
        <f>'Plot By Plot SoA'!E100</f>
        <v>1066.7024899999999</v>
      </c>
      <c r="E8" s="69"/>
      <c r="F8" s="76"/>
      <c r="G8" s="76"/>
      <c r="H8" s="76">
        <f>'Plot By Plot SoA'!J100</f>
        <v>0</v>
      </c>
      <c r="I8" s="73"/>
      <c r="J8" s="78">
        <f>'Plot By Plot SoA'!L100</f>
        <v>0</v>
      </c>
      <c r="K8" s="76"/>
      <c r="L8" s="71"/>
      <c r="M8" s="71"/>
      <c r="N8" s="73"/>
      <c r="P8" s="157" t="s">
        <v>29</v>
      </c>
      <c r="Q8" s="105">
        <v>0</v>
      </c>
      <c r="R8" s="105">
        <v>21</v>
      </c>
      <c r="S8" s="72">
        <v>0</v>
      </c>
      <c r="T8" s="73">
        <f>SUM(Q8:S8)</f>
        <v>21</v>
      </c>
    </row>
    <row r="9" spans="1:20" s="27" customFormat="1" ht="15.75" thickBot="1" x14ac:dyDescent="0.4">
      <c r="A9" s="67">
        <v>4</v>
      </c>
      <c r="B9" s="72">
        <f>'Plot By Plot SoA'!C102</f>
        <v>88</v>
      </c>
      <c r="C9" s="69">
        <f>'Plot By Plot SoA'!D102</f>
        <v>131.4</v>
      </c>
      <c r="D9" s="104">
        <f>'Plot By Plot SoA'!E102</f>
        <v>1414.37646</v>
      </c>
      <c r="E9" s="69"/>
      <c r="F9" s="76"/>
      <c r="G9" s="76"/>
      <c r="H9" s="76">
        <f>'Plot By Plot SoA'!J102</f>
        <v>0</v>
      </c>
      <c r="I9" s="73"/>
      <c r="J9" s="78">
        <f>'Plot By Plot SoA'!L102</f>
        <v>0</v>
      </c>
      <c r="K9" s="76"/>
      <c r="L9" s="71"/>
      <c r="M9" s="71"/>
      <c r="N9" s="73"/>
      <c r="P9" s="167" t="s">
        <v>30</v>
      </c>
      <c r="Q9" s="163">
        <v>0</v>
      </c>
      <c r="R9" s="163">
        <v>0</v>
      </c>
      <c r="S9" s="164">
        <v>0</v>
      </c>
      <c r="T9" s="73">
        <f>SUM(Q9:S9)</f>
        <v>0</v>
      </c>
    </row>
    <row r="10" spans="1:20" s="27" customFormat="1" ht="15.75" thickBot="1" x14ac:dyDescent="0.4">
      <c r="A10" s="67">
        <v>5</v>
      </c>
      <c r="B10" s="72">
        <f>'Plot By Plot SoA'!C104</f>
        <v>89</v>
      </c>
      <c r="C10" s="69">
        <f>'Plot By Plot SoA'!D104</f>
        <v>131.4</v>
      </c>
      <c r="D10" s="104">
        <f>'Plot By Plot SoA'!E104</f>
        <v>1414.37646</v>
      </c>
      <c r="E10" s="69"/>
      <c r="F10" s="76"/>
      <c r="G10" s="76"/>
      <c r="H10" s="76">
        <f>'Plot By Plot SoA'!J104</f>
        <v>0</v>
      </c>
      <c r="I10" s="73"/>
      <c r="J10" s="78">
        <f>'Plot By Plot SoA'!L104</f>
        <v>0</v>
      </c>
      <c r="K10" s="76"/>
      <c r="L10" s="71"/>
      <c r="M10" s="71"/>
      <c r="N10" s="73"/>
      <c r="P10" s="158" t="s">
        <v>52</v>
      </c>
      <c r="Q10" s="156">
        <f>SUM(Q7:Q9)</f>
        <v>0</v>
      </c>
      <c r="R10" s="156">
        <f>SUM(R7:R9)</f>
        <v>21</v>
      </c>
      <c r="S10" s="156">
        <f>SUM(S7:S9)</f>
        <v>12</v>
      </c>
      <c r="T10" s="155">
        <f>SUM(Q10:S10)</f>
        <v>33</v>
      </c>
    </row>
    <row r="11" spans="1:20" s="27" customFormat="1" x14ac:dyDescent="0.35">
      <c r="A11" s="67">
        <v>6</v>
      </c>
      <c r="B11" s="72">
        <f>'Plot By Plot SoA'!C105</f>
        <v>90</v>
      </c>
      <c r="C11" s="69">
        <f>'Plot By Plot SoA'!D105</f>
        <v>77.099999999999994</v>
      </c>
      <c r="D11" s="104">
        <f>'Plot By Plot SoA'!E105</f>
        <v>829.89668999999992</v>
      </c>
      <c r="E11" s="69"/>
      <c r="F11" s="76"/>
      <c r="G11" s="76"/>
      <c r="H11" s="76">
        <f>'Plot By Plot SoA'!J105</f>
        <v>0</v>
      </c>
      <c r="I11" s="73"/>
      <c r="J11" s="78">
        <f>'Plot By Plot SoA'!L105</f>
        <v>0</v>
      </c>
      <c r="K11" s="76"/>
      <c r="L11" s="71"/>
      <c r="M11" s="71"/>
      <c r="N11" s="73"/>
    </row>
    <row r="12" spans="1:20" s="27" customFormat="1" x14ac:dyDescent="0.35">
      <c r="A12" s="67">
        <v>7</v>
      </c>
      <c r="B12" s="72">
        <f>'Plot By Plot SoA'!C106</f>
        <v>91</v>
      </c>
      <c r="C12" s="69">
        <f>'Plot By Plot SoA'!D106</f>
        <v>70</v>
      </c>
      <c r="D12" s="104">
        <f>'Plot By Plot SoA'!E106</f>
        <v>753.47299999999996</v>
      </c>
      <c r="E12" s="69"/>
      <c r="F12" s="76"/>
      <c r="G12" s="76"/>
      <c r="H12" s="76">
        <f>'Plot By Plot SoA'!J106</f>
        <v>0</v>
      </c>
      <c r="I12" s="73"/>
      <c r="J12" s="78">
        <f>'Plot By Plot SoA'!L106</f>
        <v>0</v>
      </c>
      <c r="K12" s="76"/>
      <c r="L12" s="71"/>
      <c r="M12" s="71"/>
      <c r="N12" s="73"/>
    </row>
    <row r="13" spans="1:20" s="27" customFormat="1" x14ac:dyDescent="0.35">
      <c r="A13" s="67">
        <v>8</v>
      </c>
      <c r="B13" s="72">
        <f>'Plot By Plot SoA'!C107</f>
        <v>92</v>
      </c>
      <c r="C13" s="69">
        <f>'Plot By Plot SoA'!D107</f>
        <v>70</v>
      </c>
      <c r="D13" s="104">
        <f>'Plot By Plot SoA'!E107</f>
        <v>753.47299999999996</v>
      </c>
      <c r="E13" s="69"/>
      <c r="F13" s="76"/>
      <c r="G13" s="76"/>
      <c r="H13" s="76">
        <f>'Plot By Plot SoA'!J107</f>
        <v>0</v>
      </c>
      <c r="I13" s="73"/>
      <c r="J13" s="78">
        <f>'Plot By Plot SoA'!L107</f>
        <v>0</v>
      </c>
      <c r="K13" s="76"/>
      <c r="L13" s="71"/>
      <c r="M13" s="71"/>
      <c r="N13" s="73"/>
    </row>
    <row r="14" spans="1:20" s="27" customFormat="1" x14ac:dyDescent="0.35">
      <c r="A14" s="67">
        <v>9</v>
      </c>
      <c r="B14" s="72">
        <f>'Plot By Plot SoA'!C108</f>
        <v>93</v>
      </c>
      <c r="C14" s="69">
        <f>'Plot By Plot SoA'!D108</f>
        <v>76.599999999999994</v>
      </c>
      <c r="D14" s="104">
        <f>'Plot By Plot SoA'!E108</f>
        <v>824.51473999999996</v>
      </c>
      <c r="E14" s="69"/>
      <c r="F14" s="76"/>
      <c r="G14" s="76"/>
      <c r="H14" s="76">
        <f>'Plot By Plot SoA'!J108</f>
        <v>0</v>
      </c>
      <c r="I14" s="73"/>
      <c r="J14" s="78">
        <f>'Plot By Plot SoA'!L108</f>
        <v>0</v>
      </c>
      <c r="K14" s="76"/>
      <c r="L14" s="71"/>
      <c r="M14" s="71"/>
      <c r="N14" s="73"/>
    </row>
    <row r="15" spans="1:20" s="27" customFormat="1" x14ac:dyDescent="0.35">
      <c r="A15" s="67">
        <v>10</v>
      </c>
      <c r="B15" s="72">
        <f>'Plot By Plot SoA'!C111</f>
        <v>95</v>
      </c>
      <c r="C15" s="69">
        <f>'Plot By Plot SoA'!D111</f>
        <v>80.3</v>
      </c>
      <c r="D15" s="104">
        <f>'Plot By Plot SoA'!E111</f>
        <v>864.34116999999992</v>
      </c>
      <c r="E15" s="69"/>
      <c r="F15" s="76"/>
      <c r="G15" s="76"/>
      <c r="H15" s="76">
        <f>'Plot By Plot SoA'!J111</f>
        <v>0</v>
      </c>
      <c r="I15" s="73"/>
      <c r="J15" s="78">
        <f>'Plot By Plot SoA'!L111</f>
        <v>0</v>
      </c>
      <c r="K15" s="76"/>
      <c r="L15" s="71"/>
      <c r="M15" s="71"/>
      <c r="N15" s="73"/>
    </row>
    <row r="16" spans="1:20" s="27" customFormat="1" x14ac:dyDescent="0.35">
      <c r="A16" s="67">
        <v>11</v>
      </c>
      <c r="B16" s="72">
        <f>'Plot By Plot SoA'!C112</f>
        <v>96</v>
      </c>
      <c r="C16" s="69">
        <f>'Plot By Plot SoA'!D112</f>
        <v>81</v>
      </c>
      <c r="D16" s="104">
        <f>'Plot By Plot SoA'!E112</f>
        <v>871.8759</v>
      </c>
      <c r="E16" s="69"/>
      <c r="F16" s="76"/>
      <c r="G16" s="76">
        <f>'Plot By Plot SoA'!I112</f>
        <v>0</v>
      </c>
      <c r="H16" s="76"/>
      <c r="I16" s="73"/>
      <c r="J16" s="78"/>
      <c r="K16" s="76">
        <f>'Plot By Plot SoA'!M112</f>
        <v>0</v>
      </c>
      <c r="L16" s="71"/>
      <c r="M16" s="71"/>
      <c r="N16" s="73"/>
    </row>
    <row r="17" spans="1:14" s="27" customFormat="1" x14ac:dyDescent="0.35">
      <c r="A17" s="67">
        <v>12</v>
      </c>
      <c r="B17" s="72">
        <f>'Plot By Plot SoA'!C117</f>
        <v>98</v>
      </c>
      <c r="C17" s="69">
        <f>'Plot By Plot SoA'!D117</f>
        <v>179.6</v>
      </c>
      <c r="D17" s="104">
        <f>'Plot By Plot SoA'!E117</f>
        <v>1933.1964399999999</v>
      </c>
      <c r="E17" s="69"/>
      <c r="F17" s="76"/>
      <c r="G17" s="76">
        <f>'Plot By Plot SoA'!I117</f>
        <v>0</v>
      </c>
      <c r="H17" s="76"/>
      <c r="I17" s="73"/>
      <c r="J17" s="78"/>
      <c r="K17" s="76">
        <f>'Plot By Plot SoA'!M117</f>
        <v>0</v>
      </c>
      <c r="L17" s="71"/>
      <c r="M17" s="71"/>
      <c r="N17" s="73"/>
    </row>
    <row r="18" spans="1:14" s="27" customFormat="1" x14ac:dyDescent="0.35">
      <c r="A18" s="67">
        <v>13</v>
      </c>
      <c r="B18" s="72">
        <f>'Plot By Plot SoA'!C121</f>
        <v>100</v>
      </c>
      <c r="C18" s="69">
        <f>'Plot By Plot SoA'!D121</f>
        <v>95</v>
      </c>
      <c r="D18" s="104">
        <f>'Plot By Plot SoA'!E121</f>
        <v>1022.5704999999999</v>
      </c>
      <c r="E18" s="69"/>
      <c r="F18" s="76"/>
      <c r="G18" s="76">
        <f>'Plot By Plot SoA'!I121</f>
        <v>0</v>
      </c>
      <c r="H18" s="76"/>
      <c r="I18" s="73"/>
      <c r="J18" s="78"/>
      <c r="K18" s="76" t="str">
        <f>'Plot By Plot SoA'!M121</f>
        <v>Y</v>
      </c>
      <c r="L18" s="71"/>
      <c r="M18" s="71"/>
      <c r="N18" s="73"/>
    </row>
    <row r="19" spans="1:14" s="27" customFormat="1" x14ac:dyDescent="0.35">
      <c r="A19" s="67">
        <v>14</v>
      </c>
      <c r="B19" s="72">
        <f>'Plot By Plot SoA'!C123</f>
        <v>102</v>
      </c>
      <c r="C19" s="69">
        <f>'Plot By Plot SoA'!D123</f>
        <v>83.1</v>
      </c>
      <c r="D19" s="104">
        <f>'Plot By Plot SoA'!E123</f>
        <v>894.4800899999999</v>
      </c>
      <c r="E19" s="69"/>
      <c r="F19" s="76"/>
      <c r="G19" s="76">
        <f>'Plot By Plot SoA'!I123</f>
        <v>0</v>
      </c>
      <c r="H19" s="76"/>
      <c r="I19" s="73"/>
      <c r="J19" s="78"/>
      <c r="K19" s="76">
        <f>'Plot By Plot SoA'!M123</f>
        <v>0</v>
      </c>
      <c r="L19" s="71"/>
      <c r="M19" s="71"/>
      <c r="N19" s="73"/>
    </row>
    <row r="20" spans="1:14" s="27" customFormat="1" x14ac:dyDescent="0.35">
      <c r="A20" s="67">
        <v>15</v>
      </c>
      <c r="B20" s="72">
        <f>'Plot By Plot SoA'!C126</f>
        <v>104</v>
      </c>
      <c r="C20" s="69">
        <f>'Plot By Plot SoA'!D126</f>
        <v>94.4</v>
      </c>
      <c r="D20" s="104">
        <f>'Plot By Plot SoA'!E126</f>
        <v>1016.11216</v>
      </c>
      <c r="E20" s="69"/>
      <c r="F20" s="76"/>
      <c r="G20" s="76">
        <f>'Plot By Plot SoA'!I126</f>
        <v>0</v>
      </c>
      <c r="H20" s="76"/>
      <c r="I20" s="73"/>
      <c r="J20" s="78"/>
      <c r="K20" s="76" t="str">
        <f>'Plot By Plot SoA'!M126</f>
        <v>Y</v>
      </c>
      <c r="L20" s="71"/>
      <c r="M20" s="71"/>
      <c r="N20" s="73"/>
    </row>
    <row r="21" spans="1:14" s="27" customFormat="1" x14ac:dyDescent="0.35">
      <c r="A21" s="67">
        <v>16</v>
      </c>
      <c r="B21" s="72">
        <f>'Plot By Plot SoA'!C129</f>
        <v>106</v>
      </c>
      <c r="C21" s="69">
        <f>'Plot By Plot SoA'!D129</f>
        <v>89.4</v>
      </c>
      <c r="D21" s="104">
        <f>'Plot By Plot SoA'!E129</f>
        <v>962.29266000000007</v>
      </c>
      <c r="E21" s="69"/>
      <c r="F21" s="76"/>
      <c r="G21" s="76">
        <f>'Plot By Plot SoA'!I129</f>
        <v>0</v>
      </c>
      <c r="H21" s="76"/>
      <c r="I21" s="73"/>
      <c r="J21" s="78"/>
      <c r="K21" s="76">
        <f>'Plot By Plot SoA'!M129</f>
        <v>0</v>
      </c>
      <c r="L21" s="71"/>
      <c r="M21" s="71"/>
      <c r="N21" s="73"/>
    </row>
    <row r="22" spans="1:14" s="27" customFormat="1" x14ac:dyDescent="0.35">
      <c r="A22" s="67">
        <v>17</v>
      </c>
      <c r="B22" s="72">
        <f>'Plot By Plot SoA'!C131</f>
        <v>108</v>
      </c>
      <c r="C22" s="69">
        <f>'Plot By Plot SoA'!D131</f>
        <v>108</v>
      </c>
      <c r="D22" s="104">
        <f>'Plot By Plot SoA'!E131</f>
        <v>1162.5011999999999</v>
      </c>
      <c r="E22" s="69"/>
      <c r="F22" s="76"/>
      <c r="G22" s="76">
        <f>'Plot By Plot SoA'!I131</f>
        <v>0</v>
      </c>
      <c r="H22" s="76"/>
      <c r="I22" s="73"/>
      <c r="J22" s="78"/>
      <c r="K22" s="76">
        <f>'Plot By Plot SoA'!M131</f>
        <v>0</v>
      </c>
      <c r="L22" s="71"/>
      <c r="M22" s="71"/>
      <c r="N22" s="73"/>
    </row>
    <row r="23" spans="1:14" s="27" customFormat="1" x14ac:dyDescent="0.35">
      <c r="A23" s="67">
        <v>18</v>
      </c>
      <c r="B23" s="72">
        <f>'Plot By Plot SoA'!C133</f>
        <v>110</v>
      </c>
      <c r="C23" s="69">
        <f>'Plot By Plot SoA'!D133</f>
        <v>72.900000000000006</v>
      </c>
      <c r="D23" s="104">
        <f>'Plot By Plot SoA'!E133</f>
        <v>784.68831</v>
      </c>
      <c r="E23" s="69"/>
      <c r="F23" s="76"/>
      <c r="G23" s="76">
        <f>'Plot By Plot SoA'!I133</f>
        <v>0</v>
      </c>
      <c r="H23" s="76"/>
      <c r="I23" s="73"/>
      <c r="J23" s="78"/>
      <c r="K23" s="76" t="str">
        <f>'Plot By Plot SoA'!M133</f>
        <v>Y</v>
      </c>
      <c r="L23" s="71"/>
      <c r="M23" s="71"/>
      <c r="N23" s="73"/>
    </row>
    <row r="24" spans="1:14" s="27" customFormat="1" x14ac:dyDescent="0.35">
      <c r="A24" s="67">
        <v>19</v>
      </c>
      <c r="B24" s="72">
        <f>'Plot By Plot SoA'!C135</f>
        <v>112</v>
      </c>
      <c r="C24" s="69">
        <f>'Plot By Plot SoA'!D135</f>
        <v>100.4</v>
      </c>
      <c r="D24" s="104">
        <f>'Plot By Plot SoA'!E135</f>
        <v>1080.6955600000001</v>
      </c>
      <c r="E24" s="69"/>
      <c r="F24" s="76"/>
      <c r="G24" s="76">
        <f>'Plot By Plot SoA'!I135</f>
        <v>0</v>
      </c>
      <c r="H24" s="76"/>
      <c r="I24" s="73"/>
      <c r="J24" s="78"/>
      <c r="K24" s="76">
        <f>'Plot By Plot SoA'!M135</f>
        <v>0</v>
      </c>
      <c r="L24" s="71"/>
      <c r="M24" s="71"/>
      <c r="N24" s="73"/>
    </row>
    <row r="25" spans="1:14" s="27" customFormat="1" x14ac:dyDescent="0.35">
      <c r="A25" s="67">
        <v>20</v>
      </c>
      <c r="B25" s="72">
        <f>'Plot By Plot SoA'!C138</f>
        <v>114</v>
      </c>
      <c r="C25" s="69">
        <f>'Plot By Plot SoA'!D138</f>
        <v>100.4</v>
      </c>
      <c r="D25" s="104">
        <f>'Plot By Plot SoA'!E138</f>
        <v>1080.6955600000001</v>
      </c>
      <c r="E25" s="69"/>
      <c r="F25" s="76"/>
      <c r="G25" s="76">
        <f>'Plot By Plot SoA'!I138</f>
        <v>0</v>
      </c>
      <c r="H25" s="76"/>
      <c r="I25" s="73"/>
      <c r="J25" s="78"/>
      <c r="K25" s="76">
        <f>'Plot By Plot SoA'!M138</f>
        <v>0</v>
      </c>
      <c r="L25" s="71"/>
      <c r="M25" s="71"/>
      <c r="N25" s="73"/>
    </row>
    <row r="26" spans="1:14" s="27" customFormat="1" x14ac:dyDescent="0.35">
      <c r="A26" s="67">
        <v>21</v>
      </c>
      <c r="B26" s="72">
        <f>'Plot By Plot SoA'!C140</f>
        <v>116</v>
      </c>
      <c r="C26" s="69">
        <f>'Plot By Plot SoA'!D140</f>
        <v>87.7</v>
      </c>
      <c r="D26" s="104">
        <f>'Plot By Plot SoA'!E140</f>
        <v>943.99402999999995</v>
      </c>
      <c r="E26" s="69"/>
      <c r="F26" s="76"/>
      <c r="G26" s="76">
        <f>'Plot By Plot SoA'!I140</f>
        <v>0</v>
      </c>
      <c r="H26" s="76"/>
      <c r="I26" s="73"/>
      <c r="J26" s="78"/>
      <c r="K26" s="76" t="str">
        <f>'Plot By Plot SoA'!M140</f>
        <v>Y</v>
      </c>
      <c r="L26" s="71"/>
      <c r="M26" s="71"/>
      <c r="N26" s="73"/>
    </row>
    <row r="27" spans="1:14" s="27" customFormat="1" x14ac:dyDescent="0.35">
      <c r="A27" s="67">
        <v>22</v>
      </c>
      <c r="B27" s="72">
        <f>'Plot By Plot SoA'!C143</f>
        <v>118</v>
      </c>
      <c r="C27" s="69">
        <f>'Plot By Plot SoA'!D143</f>
        <v>95</v>
      </c>
      <c r="D27" s="104">
        <f>'Plot By Plot SoA'!E143</f>
        <v>1022.5704999999999</v>
      </c>
      <c r="E27" s="69"/>
      <c r="F27" s="76"/>
      <c r="G27" s="76"/>
      <c r="H27" s="76">
        <f>'Plot By Plot SoA'!J143</f>
        <v>0</v>
      </c>
      <c r="I27" s="73"/>
      <c r="J27" s="78">
        <f>'Plot By Plot SoA'!L143</f>
        <v>0</v>
      </c>
      <c r="K27" s="76"/>
      <c r="L27" s="71"/>
      <c r="M27" s="71"/>
      <c r="N27" s="73"/>
    </row>
    <row r="28" spans="1:14" s="27" customFormat="1" x14ac:dyDescent="0.35">
      <c r="A28" s="67">
        <v>23</v>
      </c>
      <c r="B28" s="72">
        <f>'Plot By Plot SoA'!C144</f>
        <v>119</v>
      </c>
      <c r="C28" s="69">
        <f>'Plot By Plot SoA'!D144</f>
        <v>95</v>
      </c>
      <c r="D28" s="104">
        <f>'Plot By Plot SoA'!E144</f>
        <v>1022.5704999999999</v>
      </c>
      <c r="E28" s="69"/>
      <c r="F28" s="76"/>
      <c r="G28" s="76"/>
      <c r="H28" s="76">
        <f>'Plot By Plot SoA'!J144</f>
        <v>0</v>
      </c>
      <c r="I28" s="73"/>
      <c r="J28" s="78">
        <f>'Plot By Plot SoA'!L144</f>
        <v>0</v>
      </c>
      <c r="K28" s="76"/>
      <c r="L28" s="71"/>
      <c r="M28" s="71"/>
      <c r="N28" s="73"/>
    </row>
    <row r="29" spans="1:14" s="27" customFormat="1" x14ac:dyDescent="0.35">
      <c r="A29" s="67">
        <v>24</v>
      </c>
      <c r="B29" s="72">
        <f>'Plot By Plot SoA'!C145</f>
        <v>120</v>
      </c>
      <c r="C29" s="69">
        <f>'Plot By Plot SoA'!D145</f>
        <v>83.1</v>
      </c>
      <c r="D29" s="104">
        <f>'Plot By Plot SoA'!E145</f>
        <v>894.4800899999999</v>
      </c>
      <c r="E29" s="69"/>
      <c r="F29" s="76"/>
      <c r="G29" s="76">
        <f>'Plot By Plot SoA'!I145</f>
        <v>0</v>
      </c>
      <c r="H29" s="76"/>
      <c r="I29" s="73"/>
      <c r="J29" s="78"/>
      <c r="K29" s="71">
        <f>'Plot By Plot SoA'!M145</f>
        <v>0</v>
      </c>
      <c r="L29" s="71"/>
      <c r="M29" s="71"/>
      <c r="N29" s="73"/>
    </row>
    <row r="30" spans="1:14" s="27" customFormat="1" x14ac:dyDescent="0.35">
      <c r="A30" s="67">
        <v>25</v>
      </c>
      <c r="B30" s="72">
        <f>'Plot By Plot SoA'!C148</f>
        <v>122</v>
      </c>
      <c r="C30" s="69">
        <f>'Plot By Plot SoA'!D148</f>
        <v>77.5</v>
      </c>
      <c r="D30" s="104">
        <f>'Plot By Plot SoA'!E148</f>
        <v>834.20224999999994</v>
      </c>
      <c r="E30" s="69"/>
      <c r="F30" s="76"/>
      <c r="G30" s="76">
        <f>'Plot By Plot SoA'!I148</f>
        <v>0</v>
      </c>
      <c r="H30" s="76"/>
      <c r="I30" s="73"/>
      <c r="J30" s="78"/>
      <c r="K30" s="71" t="str">
        <f>'Plot By Plot SoA'!M148</f>
        <v>Y</v>
      </c>
      <c r="L30" s="71"/>
      <c r="M30" s="71"/>
      <c r="N30" s="73"/>
    </row>
    <row r="31" spans="1:14" s="27" customFormat="1" x14ac:dyDescent="0.35">
      <c r="A31" s="67">
        <v>26</v>
      </c>
      <c r="B31" s="72">
        <f>'Plot By Plot SoA'!C150</f>
        <v>124</v>
      </c>
      <c r="C31" s="69">
        <f>'Plot By Plot SoA'!D150</f>
        <v>99</v>
      </c>
      <c r="D31" s="104">
        <f>'Plot By Plot SoA'!E150</f>
        <v>1065.6261</v>
      </c>
      <c r="E31" s="69"/>
      <c r="F31" s="76"/>
      <c r="G31" s="76">
        <f>'Plot By Plot SoA'!I150</f>
        <v>0</v>
      </c>
      <c r="H31" s="76"/>
      <c r="I31" s="73"/>
      <c r="J31" s="78"/>
      <c r="K31" s="71" t="str">
        <f>'Plot By Plot SoA'!M150</f>
        <v>Y</v>
      </c>
      <c r="L31" s="71"/>
      <c r="M31" s="71"/>
      <c r="N31" s="73"/>
    </row>
    <row r="32" spans="1:14" s="27" customFormat="1" x14ac:dyDescent="0.35">
      <c r="A32" s="67">
        <v>27</v>
      </c>
      <c r="B32" s="72">
        <f>'Plot By Plot SoA'!C152</f>
        <v>126</v>
      </c>
      <c r="C32" s="69">
        <f>'Plot By Plot SoA'!D152</f>
        <v>75.3</v>
      </c>
      <c r="D32" s="104">
        <f>'Plot By Plot SoA'!E152</f>
        <v>810.52166999999997</v>
      </c>
      <c r="E32" s="69"/>
      <c r="F32" s="76"/>
      <c r="G32" s="76">
        <f>'Plot By Plot SoA'!I152</f>
        <v>0</v>
      </c>
      <c r="H32" s="76"/>
      <c r="I32" s="73"/>
      <c r="J32" s="78"/>
      <c r="K32" s="71" t="str">
        <f>'Plot By Plot SoA'!M152</f>
        <v>Y</v>
      </c>
      <c r="L32" s="71"/>
      <c r="M32" s="71"/>
      <c r="N32" s="73"/>
    </row>
    <row r="33" spans="1:20" s="27" customFormat="1" x14ac:dyDescent="0.35">
      <c r="A33" s="67">
        <v>28</v>
      </c>
      <c r="B33" s="72">
        <f>'Plot By Plot SoA'!C154</f>
        <v>128</v>
      </c>
      <c r="C33" s="69">
        <f>'Plot By Plot SoA'!D154</f>
        <v>70.599999999999994</v>
      </c>
      <c r="D33" s="104">
        <f>'Plot By Plot SoA'!E154</f>
        <v>759.93133999999986</v>
      </c>
      <c r="E33" s="69"/>
      <c r="F33" s="76"/>
      <c r="G33" s="76">
        <f>'Plot By Plot SoA'!I154</f>
        <v>0</v>
      </c>
      <c r="H33" s="76"/>
      <c r="I33" s="73"/>
      <c r="J33" s="78"/>
      <c r="K33" s="71" t="str">
        <f>'Plot By Plot SoA'!M154</f>
        <v>Y</v>
      </c>
      <c r="L33" s="71"/>
      <c r="M33" s="71"/>
      <c r="N33" s="73"/>
    </row>
    <row r="34" spans="1:20" s="27" customFormat="1" x14ac:dyDescent="0.35">
      <c r="A34" s="67">
        <v>29</v>
      </c>
      <c r="B34" s="72">
        <f>'Plot By Plot SoA'!C156</f>
        <v>130</v>
      </c>
      <c r="C34" s="69">
        <f>'Plot By Plot SoA'!D156</f>
        <v>108.2</v>
      </c>
      <c r="D34" s="104">
        <f>'Plot By Plot SoA'!E156</f>
        <v>1164.65398</v>
      </c>
      <c r="E34" s="69"/>
      <c r="F34" s="76"/>
      <c r="G34" s="76">
        <f>'Plot By Plot SoA'!I156</f>
        <v>0</v>
      </c>
      <c r="H34" s="76"/>
      <c r="I34" s="73"/>
      <c r="J34" s="78"/>
      <c r="K34" s="71">
        <f>'Plot By Plot SoA'!M156</f>
        <v>0</v>
      </c>
      <c r="L34" s="71"/>
      <c r="M34" s="71"/>
      <c r="N34" s="73"/>
    </row>
    <row r="35" spans="1:20" s="27" customFormat="1" x14ac:dyDescent="0.35">
      <c r="A35" s="67">
        <v>30</v>
      </c>
      <c r="B35" s="105">
        <f>'Plot By Plot SoA'!C160</f>
        <v>132</v>
      </c>
      <c r="C35" s="69">
        <f>'Plot By Plot SoA'!D160</f>
        <v>72.599999999999994</v>
      </c>
      <c r="D35" s="104">
        <f>'Plot By Plot SoA'!E160</f>
        <v>781.45913999999993</v>
      </c>
      <c r="E35" s="69"/>
      <c r="F35" s="76"/>
      <c r="G35" s="76">
        <f>'Plot By Plot SoA'!I160</f>
        <v>0</v>
      </c>
      <c r="H35" s="76"/>
      <c r="I35" s="73"/>
      <c r="J35" s="78"/>
      <c r="K35" s="71" t="str">
        <f>'Plot By Plot SoA'!M160</f>
        <v>Y</v>
      </c>
      <c r="L35" s="71"/>
      <c r="M35" s="71"/>
      <c r="N35" s="73"/>
    </row>
    <row r="36" spans="1:20" s="27" customFormat="1" x14ac:dyDescent="0.35">
      <c r="A36" s="67">
        <v>31</v>
      </c>
      <c r="B36" s="72">
        <f>'Plot By Plot SoA'!C163</f>
        <v>134</v>
      </c>
      <c r="C36" s="69">
        <f>'Plot By Plot SoA'!D163</f>
        <v>97.1</v>
      </c>
      <c r="D36" s="104">
        <f>'Plot By Plot SoA'!E163</f>
        <v>1045.1746899999998</v>
      </c>
      <c r="E36" s="69"/>
      <c r="F36" s="76"/>
      <c r="G36" s="76">
        <f>'Plot By Plot SoA'!I163</f>
        <v>0</v>
      </c>
      <c r="H36" s="76"/>
      <c r="I36" s="73"/>
      <c r="J36" s="78"/>
      <c r="K36" s="71">
        <f>'Plot By Plot SoA'!M163</f>
        <v>0</v>
      </c>
      <c r="L36" s="71"/>
      <c r="M36" s="71"/>
      <c r="N36" s="73"/>
    </row>
    <row r="37" spans="1:20" s="27" customFormat="1" x14ac:dyDescent="0.35">
      <c r="A37" s="67">
        <v>32</v>
      </c>
      <c r="B37" s="72">
        <f>'Plot By Plot SoA'!C166</f>
        <v>136</v>
      </c>
      <c r="C37" s="69">
        <f>'Plot By Plot SoA'!D166</f>
        <v>88.5</v>
      </c>
      <c r="D37" s="104">
        <f>'Plot By Plot SoA'!E166</f>
        <v>952.60514999999998</v>
      </c>
      <c r="E37" s="69"/>
      <c r="F37" s="76"/>
      <c r="G37" s="76">
        <f>'Plot By Plot SoA'!I166</f>
        <v>0</v>
      </c>
      <c r="H37" s="76"/>
      <c r="I37" s="73"/>
      <c r="J37" s="78"/>
      <c r="K37" s="71">
        <f>'Plot By Plot SoA'!M166</f>
        <v>0</v>
      </c>
      <c r="L37" s="71"/>
      <c r="M37" s="71"/>
      <c r="N37" s="73"/>
    </row>
    <row r="38" spans="1:20" s="27" customFormat="1" ht="15.75" thickBot="1" x14ac:dyDescent="0.4">
      <c r="A38" s="141">
        <v>33</v>
      </c>
      <c r="B38" s="42">
        <f>'Plot By Plot SoA'!C168</f>
        <v>138</v>
      </c>
      <c r="C38" s="142">
        <f>'Plot By Plot SoA'!D168</f>
        <v>90.7</v>
      </c>
      <c r="D38" s="39">
        <f>'Plot By Plot SoA'!E168</f>
        <v>976.28572999999994</v>
      </c>
      <c r="E38" s="142"/>
      <c r="F38" s="143"/>
      <c r="G38" s="143">
        <f>'Plot By Plot SoA'!I168</f>
        <v>0</v>
      </c>
      <c r="H38" s="143"/>
      <c r="I38" s="37"/>
      <c r="J38" s="43"/>
      <c r="K38" s="66" t="str">
        <f>'Plot By Plot SoA'!M168</f>
        <v>Y</v>
      </c>
      <c r="L38" s="66"/>
      <c r="M38" s="66"/>
      <c r="N38" s="37"/>
    </row>
    <row r="39" spans="1:20" s="27" customFormat="1" ht="39" customHeight="1" thickBot="1" x14ac:dyDescent="0.4">
      <c r="A39" s="139" t="s">
        <v>47</v>
      </c>
      <c r="B39" s="140">
        <f>COUNTA(B6:B38)</f>
        <v>33</v>
      </c>
      <c r="C39" s="145">
        <f>SUM(C6:C38)</f>
        <v>3036.3999999999996</v>
      </c>
      <c r="D39" s="110">
        <f>SUM(C39*10.7639)</f>
        <v>32683.505959999995</v>
      </c>
      <c r="E39" s="107">
        <f t="shared" ref="E39:N39" si="0">COUNTA(E6:E38)</f>
        <v>0</v>
      </c>
      <c r="F39" s="124">
        <f t="shared" si="0"/>
        <v>0</v>
      </c>
      <c r="G39" s="107">
        <f t="shared" si="0"/>
        <v>21</v>
      </c>
      <c r="H39" s="124">
        <f t="shared" si="0"/>
        <v>12</v>
      </c>
      <c r="I39" s="126">
        <f t="shared" si="0"/>
        <v>0</v>
      </c>
      <c r="J39" s="107">
        <f t="shared" si="0"/>
        <v>12</v>
      </c>
      <c r="K39" s="124">
        <f t="shared" si="0"/>
        <v>21</v>
      </c>
      <c r="L39" s="124">
        <f t="shared" si="0"/>
        <v>0</v>
      </c>
      <c r="M39" s="107">
        <f t="shared" si="0"/>
        <v>0</v>
      </c>
      <c r="N39" s="126">
        <f t="shared" si="0"/>
        <v>0</v>
      </c>
    </row>
    <row r="40" spans="1:20" s="27" customFormat="1" x14ac:dyDescent="0.35">
      <c r="A40" s="112" t="s">
        <v>26</v>
      </c>
      <c r="B40" s="113"/>
      <c r="C40" s="114"/>
      <c r="D40" s="144"/>
      <c r="E40" s="115"/>
      <c r="F40" s="116"/>
      <c r="G40" s="116"/>
      <c r="H40" s="117"/>
      <c r="I40" s="118"/>
      <c r="J40" s="119">
        <v>1</v>
      </c>
      <c r="K40" s="120">
        <v>2</v>
      </c>
      <c r="L40" s="120">
        <v>3</v>
      </c>
      <c r="M40" s="121">
        <v>4</v>
      </c>
      <c r="N40" s="122">
        <v>5</v>
      </c>
      <c r="P40" s="1280" t="s">
        <v>53</v>
      </c>
      <c r="Q40" s="1281"/>
      <c r="R40" s="1281"/>
      <c r="S40" s="1281"/>
      <c r="T40" s="1282"/>
    </row>
    <row r="41" spans="1:20" s="27" customFormat="1" x14ac:dyDescent="0.35">
      <c r="A41" s="127">
        <v>34</v>
      </c>
      <c r="B41" s="128">
        <f>'Plot By Plot SoA'!C290</f>
        <v>259</v>
      </c>
      <c r="C41" s="38">
        <f>'Plot By Plot SoA'!D290</f>
        <v>43.4</v>
      </c>
      <c r="D41" s="129">
        <f>'Plot By Plot SoA'!E290</f>
        <v>467.15325999999999</v>
      </c>
      <c r="E41" s="130"/>
      <c r="F41" s="131"/>
      <c r="G41" s="131">
        <f>'Plot By Plot SoA'!I290</f>
        <v>0</v>
      </c>
      <c r="H41" s="128"/>
      <c r="I41" s="132"/>
      <c r="J41" s="133"/>
      <c r="K41" s="134">
        <f>'Plot By Plot SoA'!M290</f>
        <v>0</v>
      </c>
      <c r="L41" s="134"/>
      <c r="M41" s="134"/>
      <c r="N41" s="37"/>
      <c r="P41" s="166"/>
      <c r="Q41" s="161" t="s">
        <v>54</v>
      </c>
      <c r="R41" s="161" t="s">
        <v>55</v>
      </c>
      <c r="S41" s="162" t="s">
        <v>56</v>
      </c>
      <c r="T41" s="165" t="s">
        <v>52</v>
      </c>
    </row>
    <row r="42" spans="1:20" s="27" customFormat="1" x14ac:dyDescent="0.35">
      <c r="A42" s="135">
        <v>35</v>
      </c>
      <c r="B42" s="98">
        <f>'Plot By Plot SoA'!C292</f>
        <v>261</v>
      </c>
      <c r="C42" s="38">
        <f>'Plot By Plot SoA'!D292</f>
        <v>43.4</v>
      </c>
      <c r="D42" s="39">
        <f>'Plot By Plot SoA'!E292</f>
        <v>467.15325999999999</v>
      </c>
      <c r="E42" s="38"/>
      <c r="F42" s="136"/>
      <c r="G42" s="136">
        <f>'Plot By Plot SoA'!I292</f>
        <v>0</v>
      </c>
      <c r="H42" s="98"/>
      <c r="I42" s="37"/>
      <c r="J42" s="40"/>
      <c r="K42" s="41">
        <f>'Plot By Plot SoA'!M292</f>
        <v>0</v>
      </c>
      <c r="L42" s="41"/>
      <c r="M42" s="41"/>
      <c r="N42" s="37"/>
      <c r="P42" s="157" t="s">
        <v>28</v>
      </c>
      <c r="Q42" s="105">
        <v>0</v>
      </c>
      <c r="R42" s="105">
        <v>0</v>
      </c>
      <c r="S42" s="72">
        <v>10</v>
      </c>
      <c r="T42" s="73">
        <f>SUM(Q42:S42)</f>
        <v>10</v>
      </c>
    </row>
    <row r="43" spans="1:20" s="27" customFormat="1" x14ac:dyDescent="0.35">
      <c r="A43" s="135">
        <v>36</v>
      </c>
      <c r="B43" s="98">
        <f>'Plot By Plot SoA'!C294</f>
        <v>263</v>
      </c>
      <c r="C43" s="38">
        <f>'Plot By Plot SoA'!D294</f>
        <v>43.4</v>
      </c>
      <c r="D43" s="39">
        <f>'Plot By Plot SoA'!E294</f>
        <v>467.15325999999999</v>
      </c>
      <c r="E43" s="38"/>
      <c r="F43" s="136"/>
      <c r="G43" s="136">
        <f>'Plot By Plot SoA'!I294</f>
        <v>0</v>
      </c>
      <c r="H43" s="98"/>
      <c r="I43" s="37"/>
      <c r="J43" s="40"/>
      <c r="K43" s="41">
        <f>'Plot By Plot SoA'!M294</f>
        <v>0</v>
      </c>
      <c r="L43" s="41"/>
      <c r="M43" s="41"/>
      <c r="N43" s="37"/>
      <c r="P43" s="157" t="s">
        <v>29</v>
      </c>
      <c r="Q43" s="105">
        <v>0</v>
      </c>
      <c r="R43" s="105">
        <v>11</v>
      </c>
      <c r="S43" s="72">
        <v>0</v>
      </c>
      <c r="T43" s="73">
        <f>SUM(Q43:S43)</f>
        <v>11</v>
      </c>
    </row>
    <row r="44" spans="1:20" s="27" customFormat="1" ht="15.75" thickBot="1" x14ac:dyDescent="0.4">
      <c r="A44" s="135">
        <v>37</v>
      </c>
      <c r="B44" s="98">
        <f>'Plot By Plot SoA'!C296</f>
        <v>265</v>
      </c>
      <c r="C44" s="38">
        <f>'Plot By Plot SoA'!D296</f>
        <v>43.4</v>
      </c>
      <c r="D44" s="39">
        <f>'Plot By Plot SoA'!E296</f>
        <v>467.15325999999999</v>
      </c>
      <c r="E44" s="38"/>
      <c r="F44" s="136"/>
      <c r="G44" s="136"/>
      <c r="H44" s="98" t="str">
        <f>'Plot By Plot SoA'!J296</f>
        <v>Y</v>
      </c>
      <c r="I44" s="37"/>
      <c r="J44" s="40" t="str">
        <f>'Plot By Plot SoA'!L296</f>
        <v>Y</v>
      </c>
      <c r="K44" s="41"/>
      <c r="L44" s="41"/>
      <c r="M44" s="41"/>
      <c r="N44" s="37"/>
      <c r="P44" s="167" t="s">
        <v>30</v>
      </c>
      <c r="Q44" s="163">
        <v>0</v>
      </c>
      <c r="R44" s="163">
        <v>0</v>
      </c>
      <c r="S44" s="164">
        <v>1</v>
      </c>
      <c r="T44" s="73">
        <f>SUM(Q44:S44)</f>
        <v>1</v>
      </c>
    </row>
    <row r="45" spans="1:20" s="27" customFormat="1" ht="15.75" thickBot="1" x14ac:dyDescent="0.4">
      <c r="A45" s="135">
        <v>38</v>
      </c>
      <c r="B45" s="98">
        <f>'Plot By Plot SoA'!C297</f>
        <v>266</v>
      </c>
      <c r="C45" s="38">
        <f>'Plot By Plot SoA'!D297</f>
        <v>43.4</v>
      </c>
      <c r="D45" s="39">
        <f>'Plot By Plot SoA'!E297</f>
        <v>467.15325999999999</v>
      </c>
      <c r="E45" s="38"/>
      <c r="F45" s="136"/>
      <c r="G45" s="136"/>
      <c r="H45" s="98" t="str">
        <f>'Plot By Plot SoA'!J297</f>
        <v>Y</v>
      </c>
      <c r="I45" s="37"/>
      <c r="J45" s="40" t="str">
        <f>'Plot By Plot SoA'!L297</f>
        <v>Y</v>
      </c>
      <c r="K45" s="41"/>
      <c r="L45" s="41"/>
      <c r="M45" s="41"/>
      <c r="N45" s="37"/>
      <c r="P45" s="158" t="s">
        <v>52</v>
      </c>
      <c r="Q45" s="156">
        <f>SUM(Q42:Q44)</f>
        <v>0</v>
      </c>
      <c r="R45" s="156">
        <f>SUM(R42:R44)</f>
        <v>11</v>
      </c>
      <c r="S45" s="156">
        <f>SUM(S42:S44)</f>
        <v>11</v>
      </c>
      <c r="T45" s="155">
        <f>SUM(Q45:S45)</f>
        <v>22</v>
      </c>
    </row>
    <row r="46" spans="1:20" s="27" customFormat="1" x14ac:dyDescent="0.35">
      <c r="A46" s="135">
        <v>39</v>
      </c>
      <c r="B46" s="98">
        <f>'Plot By Plot SoA'!C298</f>
        <v>267</v>
      </c>
      <c r="C46" s="38">
        <f>'Plot By Plot SoA'!D298</f>
        <v>43.4</v>
      </c>
      <c r="D46" s="39">
        <f>'Plot By Plot SoA'!E298</f>
        <v>467.15325999999999</v>
      </c>
      <c r="E46" s="38"/>
      <c r="F46" s="136"/>
      <c r="G46" s="136"/>
      <c r="H46" s="98" t="str">
        <f>'Plot By Plot SoA'!J298</f>
        <v>Y</v>
      </c>
      <c r="I46" s="37"/>
      <c r="J46" s="40" t="str">
        <f>'Plot By Plot SoA'!L298</f>
        <v>Y</v>
      </c>
      <c r="K46" s="41"/>
      <c r="L46" s="41"/>
      <c r="M46" s="41"/>
      <c r="N46" s="37"/>
    </row>
    <row r="47" spans="1:20" s="27" customFormat="1" x14ac:dyDescent="0.35">
      <c r="A47" s="135">
        <v>40</v>
      </c>
      <c r="B47" s="98">
        <f>'Plot By Plot SoA'!C299</f>
        <v>268</v>
      </c>
      <c r="C47" s="38">
        <f>'Plot By Plot SoA'!D299</f>
        <v>43.4</v>
      </c>
      <c r="D47" s="39">
        <f>'Plot By Plot SoA'!E299</f>
        <v>467.15325999999999</v>
      </c>
      <c r="E47" s="38"/>
      <c r="F47" s="136"/>
      <c r="G47" s="136"/>
      <c r="H47" s="98" t="str">
        <f>'Plot By Plot SoA'!J299</f>
        <v>Y</v>
      </c>
      <c r="I47" s="37"/>
      <c r="J47" s="40" t="str">
        <f>'Plot By Plot SoA'!L299</f>
        <v>Y</v>
      </c>
      <c r="K47" s="41"/>
      <c r="L47" s="41"/>
      <c r="M47" s="41"/>
      <c r="N47" s="37"/>
    </row>
    <row r="48" spans="1:20" s="27" customFormat="1" x14ac:dyDescent="0.35">
      <c r="A48" s="135">
        <v>41</v>
      </c>
      <c r="B48" s="98">
        <f>'Plot By Plot SoA'!C300</f>
        <v>269</v>
      </c>
      <c r="C48" s="38">
        <f>'Plot By Plot SoA'!D300</f>
        <v>43.4</v>
      </c>
      <c r="D48" s="39">
        <f>'Plot By Plot SoA'!E300</f>
        <v>467.15325999999999</v>
      </c>
      <c r="E48" s="38"/>
      <c r="F48" s="136"/>
      <c r="G48" s="136"/>
      <c r="H48" s="98" t="str">
        <f>'Plot By Plot SoA'!J300</f>
        <v>Y</v>
      </c>
      <c r="I48" s="37"/>
      <c r="J48" s="40" t="str">
        <f>'Plot By Plot SoA'!L300</f>
        <v>Y</v>
      </c>
      <c r="K48" s="41"/>
      <c r="L48" s="41"/>
      <c r="M48" s="41"/>
      <c r="N48" s="37"/>
    </row>
    <row r="49" spans="1:14" s="27" customFormat="1" x14ac:dyDescent="0.35">
      <c r="A49" s="135">
        <v>42</v>
      </c>
      <c r="B49" s="98">
        <f>'Plot By Plot SoA'!C301</f>
        <v>270</v>
      </c>
      <c r="C49" s="38">
        <f>'Plot By Plot SoA'!D301</f>
        <v>51.2</v>
      </c>
      <c r="D49" s="39">
        <f>'Plot By Plot SoA'!E301</f>
        <v>551.11167999999998</v>
      </c>
      <c r="E49" s="38"/>
      <c r="F49" s="136"/>
      <c r="G49" s="136"/>
      <c r="H49" s="98" t="str">
        <f>'Plot By Plot SoA'!J301</f>
        <v>Y</v>
      </c>
      <c r="I49" s="37"/>
      <c r="J49" s="40" t="str">
        <f>'Plot By Plot SoA'!L301</f>
        <v>Y</v>
      </c>
      <c r="K49" s="41"/>
      <c r="L49" s="41"/>
      <c r="M49" s="41"/>
      <c r="N49" s="37"/>
    </row>
    <row r="50" spans="1:14" s="27" customFormat="1" x14ac:dyDescent="0.35">
      <c r="A50" s="135">
        <v>43</v>
      </c>
      <c r="B50" s="98">
        <f>'Plot By Plot SoA'!C302</f>
        <v>271</v>
      </c>
      <c r="C50" s="38">
        <f>'Plot By Plot SoA'!D302</f>
        <v>43.4</v>
      </c>
      <c r="D50" s="39">
        <f>'Plot By Plot SoA'!E302</f>
        <v>467.15325999999999</v>
      </c>
      <c r="E50" s="38"/>
      <c r="F50" s="136"/>
      <c r="G50" s="136"/>
      <c r="H50" s="98" t="str">
        <f>'Plot By Plot SoA'!J302</f>
        <v>Y</v>
      </c>
      <c r="I50" s="37"/>
      <c r="J50" s="40" t="str">
        <f>'Plot By Plot SoA'!L302</f>
        <v>Y</v>
      </c>
      <c r="K50" s="41"/>
      <c r="L50" s="41"/>
      <c r="M50" s="41"/>
      <c r="N50" s="37"/>
    </row>
    <row r="51" spans="1:14" s="27" customFormat="1" x14ac:dyDescent="0.35">
      <c r="A51" s="135">
        <v>44</v>
      </c>
      <c r="B51" s="98">
        <f>'Plot By Plot SoA'!C303</f>
        <v>272</v>
      </c>
      <c r="C51" s="38">
        <f>'Plot By Plot SoA'!D303</f>
        <v>43.4</v>
      </c>
      <c r="D51" s="39">
        <f>'Plot By Plot SoA'!E303</f>
        <v>467.15325999999999</v>
      </c>
      <c r="E51" s="38"/>
      <c r="F51" s="136"/>
      <c r="G51" s="136"/>
      <c r="H51" s="98" t="str">
        <f>'Plot By Plot SoA'!J303</f>
        <v>Y</v>
      </c>
      <c r="I51" s="37"/>
      <c r="J51" s="40" t="str">
        <f>'Plot By Plot SoA'!L303</f>
        <v>Y</v>
      </c>
      <c r="K51" s="41"/>
      <c r="L51" s="41"/>
      <c r="M51" s="41"/>
      <c r="N51" s="37"/>
    </row>
    <row r="52" spans="1:14" s="27" customFormat="1" x14ac:dyDescent="0.35">
      <c r="A52" s="135">
        <v>45</v>
      </c>
      <c r="B52" s="98">
        <f>'Plot By Plot SoA'!C305</f>
        <v>274</v>
      </c>
      <c r="C52" s="38">
        <f>'Plot By Plot SoA'!D305</f>
        <v>39.200000000000003</v>
      </c>
      <c r="D52" s="39">
        <f>'Plot By Plot SoA'!E305</f>
        <v>421.94488000000001</v>
      </c>
      <c r="E52" s="38"/>
      <c r="F52" s="136"/>
      <c r="G52" s="136"/>
      <c r="H52" s="98">
        <f>'Plot By Plot SoA'!J305</f>
        <v>0</v>
      </c>
      <c r="I52" s="37"/>
      <c r="J52" s="40" t="str">
        <f>'Plot By Plot SoA'!L305</f>
        <v>Y</v>
      </c>
      <c r="K52" s="41"/>
      <c r="L52" s="41"/>
      <c r="M52" s="41"/>
      <c r="N52" s="37"/>
    </row>
    <row r="53" spans="1:14" s="27" customFormat="1" x14ac:dyDescent="0.35">
      <c r="A53" s="135">
        <v>46</v>
      </c>
      <c r="B53" s="98">
        <f>'Plot By Plot SoA'!C306</f>
        <v>275</v>
      </c>
      <c r="C53" s="38">
        <f>'Plot By Plot SoA'!D306</f>
        <v>57.8</v>
      </c>
      <c r="D53" s="39">
        <f>'Plot By Plot SoA'!E306</f>
        <v>622.15341999999998</v>
      </c>
      <c r="E53" s="38"/>
      <c r="F53" s="136"/>
      <c r="G53" s="136" t="str">
        <f>'Plot By Plot SoA'!I306</f>
        <v>Y</v>
      </c>
      <c r="H53" s="98"/>
      <c r="I53" s="37"/>
      <c r="J53" s="40"/>
      <c r="K53" s="41">
        <f>'Plot By Plot SoA'!M306</f>
        <v>0</v>
      </c>
      <c r="L53" s="41"/>
      <c r="M53" s="41"/>
      <c r="N53" s="37"/>
    </row>
    <row r="54" spans="1:14" s="27" customFormat="1" x14ac:dyDescent="0.35">
      <c r="A54" s="135">
        <v>47</v>
      </c>
      <c r="B54" s="98">
        <f>'Plot By Plot SoA'!C307</f>
        <v>276</v>
      </c>
      <c r="C54" s="38">
        <f>'Plot By Plot SoA'!D307</f>
        <v>57.8</v>
      </c>
      <c r="D54" s="39">
        <f>'Plot By Plot SoA'!E307</f>
        <v>622.15341999999998</v>
      </c>
      <c r="E54" s="38"/>
      <c r="F54" s="136"/>
      <c r="G54" s="136" t="str">
        <f>'Plot By Plot SoA'!I307</f>
        <v>Y</v>
      </c>
      <c r="H54" s="98"/>
      <c r="I54" s="37"/>
      <c r="J54" s="40"/>
      <c r="K54" s="41">
        <f>'Plot By Plot SoA'!M307</f>
        <v>0</v>
      </c>
      <c r="L54" s="41"/>
      <c r="M54" s="41"/>
      <c r="N54" s="37"/>
    </row>
    <row r="55" spans="1:14" s="27" customFormat="1" x14ac:dyDescent="0.35">
      <c r="A55" s="135">
        <v>48</v>
      </c>
      <c r="B55" s="98">
        <f>'Plot By Plot SoA'!C308</f>
        <v>277</v>
      </c>
      <c r="C55" s="38">
        <f>'Plot By Plot SoA'!D308</f>
        <v>50.1</v>
      </c>
      <c r="D55" s="39">
        <f>'Plot By Plot SoA'!E308</f>
        <v>539.27139</v>
      </c>
      <c r="E55" s="38"/>
      <c r="F55" s="136"/>
      <c r="G55" s="136">
        <f>'Plot By Plot SoA'!I308</f>
        <v>0</v>
      </c>
      <c r="H55" s="98"/>
      <c r="I55" s="37"/>
      <c r="J55" s="40"/>
      <c r="K55" s="41">
        <f>'Plot By Plot SoA'!M308</f>
        <v>0</v>
      </c>
      <c r="L55" s="41"/>
      <c r="M55" s="41"/>
      <c r="N55" s="37"/>
    </row>
    <row r="56" spans="1:14" s="27" customFormat="1" x14ac:dyDescent="0.35">
      <c r="A56" s="135">
        <v>49</v>
      </c>
      <c r="B56" s="98">
        <f>'Plot By Plot SoA'!C309</f>
        <v>278</v>
      </c>
      <c r="C56" s="38">
        <f>'Plot By Plot SoA'!D309</f>
        <v>100.1</v>
      </c>
      <c r="D56" s="39">
        <f>'Plot By Plot SoA'!E309</f>
        <v>1077.4663899999998</v>
      </c>
      <c r="E56" s="38"/>
      <c r="F56" s="136"/>
      <c r="G56" s="136" t="str">
        <f>'Plot By Plot SoA'!I309</f>
        <v>Y</v>
      </c>
      <c r="H56" s="98"/>
      <c r="I56" s="37"/>
      <c r="J56" s="40"/>
      <c r="K56" s="41" t="str">
        <f>'Plot By Plot SoA'!M309</f>
        <v>Y</v>
      </c>
      <c r="L56" s="41"/>
      <c r="M56" s="41"/>
      <c r="N56" s="37"/>
    </row>
    <row r="57" spans="1:14" s="27" customFormat="1" x14ac:dyDescent="0.35">
      <c r="A57" s="135">
        <v>50</v>
      </c>
      <c r="B57" s="98">
        <f>'Plot By Plot SoA'!C310</f>
        <v>279</v>
      </c>
      <c r="C57" s="38">
        <f>'Plot By Plot SoA'!D310</f>
        <v>57.8</v>
      </c>
      <c r="D57" s="39">
        <f>'Plot By Plot SoA'!E310</f>
        <v>622.15341999999998</v>
      </c>
      <c r="E57" s="38"/>
      <c r="F57" s="136"/>
      <c r="G57" s="136" t="str">
        <f>'Plot By Plot SoA'!I310</f>
        <v>Y</v>
      </c>
      <c r="H57" s="98"/>
      <c r="I57" s="37"/>
      <c r="J57" s="40"/>
      <c r="K57" s="41">
        <f>'Plot By Plot SoA'!M310</f>
        <v>0</v>
      </c>
      <c r="L57" s="41"/>
      <c r="M57" s="41"/>
      <c r="N57" s="37"/>
    </row>
    <row r="58" spans="1:14" s="27" customFormat="1" x14ac:dyDescent="0.35">
      <c r="A58" s="135">
        <v>51</v>
      </c>
      <c r="B58" s="98">
        <f>'Plot By Plot SoA'!C311</f>
        <v>280</v>
      </c>
      <c r="C58" s="38">
        <f>'Plot By Plot SoA'!D311</f>
        <v>57.8</v>
      </c>
      <c r="D58" s="39">
        <f>'Plot By Plot SoA'!E311</f>
        <v>622.15341999999998</v>
      </c>
      <c r="E58" s="38"/>
      <c r="F58" s="136"/>
      <c r="G58" s="136" t="str">
        <f>'Plot By Plot SoA'!I311</f>
        <v>Y</v>
      </c>
      <c r="H58" s="98"/>
      <c r="I58" s="37"/>
      <c r="J58" s="40"/>
      <c r="K58" s="41">
        <f>'Plot By Plot SoA'!M311</f>
        <v>0</v>
      </c>
      <c r="L58" s="41"/>
      <c r="M58" s="41"/>
      <c r="N58" s="37"/>
    </row>
    <row r="59" spans="1:14" s="27" customFormat="1" x14ac:dyDescent="0.35">
      <c r="A59" s="135">
        <v>52</v>
      </c>
      <c r="B59" s="98">
        <f>'Plot By Plot SoA'!C313</f>
        <v>282</v>
      </c>
      <c r="C59" s="38">
        <f>'Plot By Plot SoA'!D313</f>
        <v>69.599999999999994</v>
      </c>
      <c r="D59" s="39">
        <f>'Plot By Plot SoA'!E313</f>
        <v>749.16743999999994</v>
      </c>
      <c r="E59" s="38"/>
      <c r="F59" s="136"/>
      <c r="G59" s="136" t="str">
        <f>'Plot By Plot SoA'!I313</f>
        <v>Y</v>
      </c>
      <c r="H59" s="98"/>
      <c r="I59" s="37"/>
      <c r="J59" s="40"/>
      <c r="K59" s="41" t="str">
        <f>'Plot By Plot SoA'!M313</f>
        <v>Y</v>
      </c>
      <c r="L59" s="41"/>
      <c r="M59" s="41"/>
      <c r="N59" s="37"/>
    </row>
    <row r="60" spans="1:14" s="27" customFormat="1" x14ac:dyDescent="0.35">
      <c r="A60" s="135">
        <v>53</v>
      </c>
      <c r="B60" s="98">
        <f>'Plot By Plot SoA'!C316</f>
        <v>285</v>
      </c>
      <c r="C60" s="38">
        <f>'Plot By Plot SoA'!D316</f>
        <v>87.3</v>
      </c>
      <c r="D60" s="39">
        <f>'Plot By Plot SoA'!E316</f>
        <v>939.68846999999994</v>
      </c>
      <c r="E60" s="38"/>
      <c r="F60" s="136"/>
      <c r="G60" s="136" t="str">
        <f>'Plot By Plot SoA'!I316</f>
        <v>Y</v>
      </c>
      <c r="H60" s="98"/>
      <c r="I60" s="37"/>
      <c r="J60" s="40"/>
      <c r="K60" s="41">
        <f>'Plot By Plot SoA'!M316</f>
        <v>0</v>
      </c>
      <c r="L60" s="41"/>
      <c r="M60" s="41"/>
      <c r="N60" s="37"/>
    </row>
    <row r="61" spans="1:14" s="27" customFormat="1" x14ac:dyDescent="0.35">
      <c r="A61" s="135">
        <v>54</v>
      </c>
      <c r="B61" s="98">
        <f>'Plot By Plot SoA'!C319</f>
        <v>288</v>
      </c>
      <c r="C61" s="38">
        <f>'Plot By Plot SoA'!D319</f>
        <v>69.599999999999994</v>
      </c>
      <c r="D61" s="39">
        <f>'Plot By Plot SoA'!E319</f>
        <v>749.16743999999994</v>
      </c>
      <c r="E61" s="38"/>
      <c r="F61" s="136"/>
      <c r="G61" s="136"/>
      <c r="H61" s="98">
        <f>'Plot By Plot SoA'!J319</f>
        <v>0</v>
      </c>
      <c r="I61" s="37"/>
      <c r="J61" s="40">
        <f>'Plot By Plot SoA'!L319</f>
        <v>0</v>
      </c>
      <c r="K61" s="41"/>
      <c r="L61" s="41"/>
      <c r="M61" s="41"/>
      <c r="N61" s="37"/>
    </row>
    <row r="62" spans="1:14" s="27" customFormat="1" ht="15.75" thickBot="1" x14ac:dyDescent="0.4">
      <c r="A62" s="141">
        <v>55</v>
      </c>
      <c r="B62" s="98">
        <f>'Plot By Plot SoA'!C320</f>
        <v>289</v>
      </c>
      <c r="C62" s="38">
        <f>'Plot By Plot SoA'!D320</f>
        <v>59.4</v>
      </c>
      <c r="D62" s="39">
        <f>'Plot By Plot SoA'!E320</f>
        <v>639.37565999999993</v>
      </c>
      <c r="E62" s="142"/>
      <c r="F62" s="66"/>
      <c r="G62" s="66"/>
      <c r="H62" s="42" t="str">
        <f>'Plot By Plot SoA'!J320</f>
        <v>Y</v>
      </c>
      <c r="I62" s="37"/>
      <c r="J62" s="43"/>
      <c r="K62" s="143"/>
      <c r="L62" s="143">
        <f>'Plot By Plot SoA'!N320</f>
        <v>0</v>
      </c>
      <c r="M62" s="143"/>
      <c r="N62" s="37"/>
    </row>
    <row r="63" spans="1:14" s="27" customFormat="1" ht="39" customHeight="1" thickBot="1" x14ac:dyDescent="0.4">
      <c r="A63" s="123" t="s">
        <v>47</v>
      </c>
      <c r="B63" s="111">
        <f>COUNTA(B41:B62)</f>
        <v>22</v>
      </c>
      <c r="C63" s="145">
        <f>SUM(C41:C62)</f>
        <v>1191.6999999999998</v>
      </c>
      <c r="D63" s="110">
        <f>SUM(C63*10.7639)</f>
        <v>12827.339629999997</v>
      </c>
      <c r="E63" s="107">
        <f t="shared" ref="E63:N63" si="1">COUNTA(E41:E62)</f>
        <v>0</v>
      </c>
      <c r="F63" s="124">
        <f t="shared" si="1"/>
        <v>0</v>
      </c>
      <c r="G63" s="107">
        <f t="shared" si="1"/>
        <v>11</v>
      </c>
      <c r="H63" s="124">
        <f t="shared" si="1"/>
        <v>11</v>
      </c>
      <c r="I63" s="126">
        <f t="shared" si="1"/>
        <v>0</v>
      </c>
      <c r="J63" s="107">
        <f t="shared" si="1"/>
        <v>10</v>
      </c>
      <c r="K63" s="124">
        <f t="shared" si="1"/>
        <v>11</v>
      </c>
      <c r="L63" s="124">
        <f t="shared" si="1"/>
        <v>1</v>
      </c>
      <c r="M63" s="107">
        <f t="shared" si="1"/>
        <v>0</v>
      </c>
      <c r="N63" s="126">
        <f t="shared" si="1"/>
        <v>0</v>
      </c>
    </row>
    <row r="64" spans="1:14" s="27" customFormat="1" ht="45.75" thickBot="1" x14ac:dyDescent="0.4">
      <c r="A64" s="1283"/>
      <c r="B64" s="48" t="s">
        <v>5</v>
      </c>
      <c r="C64" s="146"/>
      <c r="D64" s="147"/>
      <c r="E64" s="10">
        <f t="shared" ref="E64:N64" si="2">COUNTA(E41:E62,E6:E38)</f>
        <v>0</v>
      </c>
      <c r="F64" s="10">
        <f t="shared" si="2"/>
        <v>0</v>
      </c>
      <c r="G64" s="10">
        <f t="shared" si="2"/>
        <v>32</v>
      </c>
      <c r="H64" s="10">
        <f t="shared" si="2"/>
        <v>23</v>
      </c>
      <c r="I64" s="100">
        <f t="shared" si="2"/>
        <v>0</v>
      </c>
      <c r="J64" s="99">
        <f t="shared" si="2"/>
        <v>22</v>
      </c>
      <c r="K64" s="99">
        <f t="shared" si="2"/>
        <v>32</v>
      </c>
      <c r="L64" s="99">
        <f t="shared" si="2"/>
        <v>1</v>
      </c>
      <c r="M64" s="99">
        <f t="shared" si="2"/>
        <v>0</v>
      </c>
      <c r="N64" s="109">
        <f t="shared" si="2"/>
        <v>0</v>
      </c>
    </row>
    <row r="65" spans="1:20" s="27" customFormat="1" ht="30.75" thickBot="1" x14ac:dyDescent="0.4">
      <c r="A65" s="1284"/>
      <c r="B65" s="49" t="s">
        <v>6</v>
      </c>
      <c r="C65" s="1274">
        <f>SUM(C41:C62,C6:C38)</f>
        <v>4228.0999999999995</v>
      </c>
      <c r="D65" s="1275"/>
      <c r="E65" s="1275"/>
      <c r="F65" s="1275"/>
      <c r="G65" s="1275"/>
      <c r="H65" s="1275"/>
      <c r="I65" s="1276"/>
      <c r="J65" s="51">
        <f>SUM(1/J66*J64)</f>
        <v>0.39999999999999997</v>
      </c>
      <c r="K65" s="52">
        <f>SUM(1/J66*K64)</f>
        <v>0.58181818181818179</v>
      </c>
      <c r="L65" s="52">
        <f>SUM(1/J66*L64)</f>
        <v>1.8181818181818181E-2</v>
      </c>
      <c r="M65" s="52">
        <f>SUM(1/J66*M64)</f>
        <v>0</v>
      </c>
      <c r="N65" s="53">
        <f>SUM(1/J66*N64)</f>
        <v>0</v>
      </c>
    </row>
    <row r="66" spans="1:20" s="27" customFormat="1" ht="45.75" thickBot="1" x14ac:dyDescent="0.4">
      <c r="A66" s="1285"/>
      <c r="B66" s="50" t="s">
        <v>7</v>
      </c>
      <c r="C66" s="1105">
        <f>SUM(C65*10.7639)</f>
        <v>45510.84558999999</v>
      </c>
      <c r="D66" s="1106"/>
      <c r="E66" s="1106"/>
      <c r="F66" s="1106"/>
      <c r="G66" s="1106"/>
      <c r="H66" s="1106"/>
      <c r="I66" s="1107"/>
      <c r="J66" s="1277">
        <f>SUM(J64:N64)</f>
        <v>55</v>
      </c>
      <c r="K66" s="1278"/>
      <c r="L66" s="1278"/>
      <c r="M66" s="1278"/>
      <c r="N66" s="1279"/>
    </row>
    <row r="67" spans="1:20" s="27" customFormat="1" ht="15.75" thickBot="1" x14ac:dyDescent="0.4">
      <c r="P67" s="1296" t="s">
        <v>50</v>
      </c>
      <c r="Q67" s="1297"/>
      <c r="R67" s="1297"/>
      <c r="S67" s="1297"/>
      <c r="T67" s="1298"/>
    </row>
    <row r="68" spans="1:20" s="27" customFormat="1" ht="30" x14ac:dyDescent="0.35">
      <c r="P68" s="159"/>
      <c r="Q68" s="168" t="s">
        <v>51</v>
      </c>
      <c r="R68" s="168" t="s">
        <v>16</v>
      </c>
      <c r="S68" s="169" t="s">
        <v>17</v>
      </c>
      <c r="T68" s="160" t="s">
        <v>52</v>
      </c>
    </row>
    <row r="69" spans="1:20" s="27" customFormat="1" x14ac:dyDescent="0.35">
      <c r="P69" s="157" t="s">
        <v>28</v>
      </c>
      <c r="Q69" s="105">
        <f>SUM(Q42,Q7)</f>
        <v>0</v>
      </c>
      <c r="R69" s="105">
        <f>SUM(R42,R7)</f>
        <v>0</v>
      </c>
      <c r="S69" s="103">
        <f>SUM(S42,S7)</f>
        <v>22</v>
      </c>
      <c r="T69" s="73">
        <f>SUM(Q69:S69)</f>
        <v>22</v>
      </c>
    </row>
    <row r="70" spans="1:20" s="27" customFormat="1" x14ac:dyDescent="0.35">
      <c r="P70" s="157" t="s">
        <v>29</v>
      </c>
      <c r="Q70" s="105">
        <f t="shared" ref="Q70:S71" si="3">SUM(Q43,Q8)</f>
        <v>0</v>
      </c>
      <c r="R70" s="105">
        <f t="shared" si="3"/>
        <v>32</v>
      </c>
      <c r="S70" s="72">
        <f t="shared" si="3"/>
        <v>0</v>
      </c>
      <c r="T70" s="73">
        <f>SUM(Q70:S70)</f>
        <v>32</v>
      </c>
    </row>
    <row r="71" spans="1:20" s="27" customFormat="1" ht="15.75" thickBot="1" x14ac:dyDescent="0.4">
      <c r="P71" s="167" t="s">
        <v>30</v>
      </c>
      <c r="Q71" s="170">
        <f t="shared" si="3"/>
        <v>0</v>
      </c>
      <c r="R71" s="163">
        <f t="shared" si="3"/>
        <v>0</v>
      </c>
      <c r="S71" s="164">
        <f t="shared" si="3"/>
        <v>1</v>
      </c>
      <c r="T71" s="73">
        <f>SUM(Q71:S71)</f>
        <v>1</v>
      </c>
    </row>
    <row r="72" spans="1:20" s="27" customFormat="1" ht="15.75" thickBot="1" x14ac:dyDescent="0.4">
      <c r="P72" s="158" t="s">
        <v>52</v>
      </c>
      <c r="Q72" s="156">
        <f>SUM(Q69:Q71)</f>
        <v>0</v>
      </c>
      <c r="R72" s="156">
        <f>SUM(R69:R71)</f>
        <v>32</v>
      </c>
      <c r="S72" s="156">
        <f>SUM(S69:S71)</f>
        <v>23</v>
      </c>
      <c r="T72" s="155">
        <f>SUM(Q72:S72)</f>
        <v>55</v>
      </c>
    </row>
    <row r="73" spans="1:20" s="27" customFormat="1" x14ac:dyDescent="0.35"/>
    <row r="74" spans="1:20" s="27" customFormat="1" x14ac:dyDescent="0.35"/>
    <row r="75" spans="1:20" s="27" customFormat="1" x14ac:dyDescent="0.35"/>
    <row r="76" spans="1:20" s="27" customFormat="1" x14ac:dyDescent="0.35"/>
    <row r="77" spans="1:20" s="27" customFormat="1" x14ac:dyDescent="0.35"/>
    <row r="78" spans="1:20" s="27" customFormat="1" x14ac:dyDescent="0.35"/>
    <row r="79" spans="1:20" s="27" customFormat="1" x14ac:dyDescent="0.35"/>
    <row r="80" spans="1:20" s="27" customFormat="1" x14ac:dyDescent="0.35"/>
    <row r="81" s="27" customFormat="1" x14ac:dyDescent="0.35"/>
    <row r="82" s="27" customFormat="1" x14ac:dyDescent="0.35"/>
    <row r="83" s="27" customFormat="1" x14ac:dyDescent="0.35"/>
    <row r="84" s="27" customFormat="1" x14ac:dyDescent="0.35"/>
    <row r="85" s="27" customFormat="1" x14ac:dyDescent="0.35"/>
    <row r="86" s="27" customFormat="1" x14ac:dyDescent="0.35"/>
    <row r="87" s="27" customFormat="1" x14ac:dyDescent="0.35"/>
    <row r="88" s="27" customFormat="1" x14ac:dyDescent="0.35"/>
    <row r="89" s="27" customFormat="1" x14ac:dyDescent="0.35"/>
    <row r="90" s="27" customFormat="1" x14ac:dyDescent="0.35"/>
    <row r="91" s="27" customFormat="1" x14ac:dyDescent="0.35"/>
    <row r="92" s="27" customFormat="1" x14ac:dyDescent="0.35"/>
  </sheetData>
  <mergeCells count="19">
    <mergeCell ref="A1:A2"/>
    <mergeCell ref="B1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N4"/>
    <mergeCell ref="J66:N66"/>
    <mergeCell ref="P67:T67"/>
    <mergeCell ref="P40:T40"/>
    <mergeCell ref="A64:A66"/>
    <mergeCell ref="P5:T5"/>
    <mergeCell ref="C65:I65"/>
    <mergeCell ref="C66:I66"/>
  </mergeCells>
  <pageMargins left="0.7" right="0.7" top="0.75" bottom="0.75" header="0.3" footer="0.3"/>
  <pageSetup paperSize="8" scale="69" fitToHeight="0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3DFC4-85BF-4648-A50D-BA0D09C85E49}">
  <sheetPr>
    <pageSetUpPr fitToPage="1"/>
  </sheetPr>
  <dimension ref="A1:T111"/>
  <sheetViews>
    <sheetView workbookViewId="0">
      <selection activeCell="I25" sqref="I25"/>
    </sheetView>
  </sheetViews>
  <sheetFormatPr defaultRowHeight="15" x14ac:dyDescent="0.25"/>
  <cols>
    <col min="1" max="1" width="14.85546875" customWidth="1"/>
    <col min="2" max="2" width="10" customWidth="1"/>
    <col min="6" max="6" width="11.140625" customWidth="1"/>
    <col min="16" max="16" width="5" bestFit="1" customWidth="1"/>
    <col min="17" max="17" width="9.85546875" bestFit="1" customWidth="1"/>
  </cols>
  <sheetData>
    <row r="1" spans="1:20" x14ac:dyDescent="0.25">
      <c r="A1" s="1189"/>
      <c r="B1" s="1286" t="s">
        <v>37</v>
      </c>
      <c r="C1" s="983"/>
      <c r="D1" s="983"/>
      <c r="E1" s="983"/>
      <c r="F1" s="983"/>
      <c r="G1" s="983"/>
      <c r="H1" s="983"/>
      <c r="I1" s="983"/>
      <c r="J1" s="983"/>
      <c r="K1" s="983"/>
      <c r="L1" s="983"/>
      <c r="M1" s="983"/>
      <c r="N1" s="984"/>
    </row>
    <row r="2" spans="1:20" ht="15.75" thickBot="1" x14ac:dyDescent="0.3">
      <c r="A2" s="1190"/>
      <c r="B2" s="1287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6"/>
    </row>
    <row r="3" spans="1:20" x14ac:dyDescent="0.25">
      <c r="A3" s="1190"/>
      <c r="B3" s="1288" t="s">
        <v>0</v>
      </c>
      <c r="C3" s="991" t="s">
        <v>4</v>
      </c>
      <c r="D3" s="1294" t="s">
        <v>18</v>
      </c>
      <c r="E3" s="999" t="s">
        <v>15</v>
      </c>
      <c r="F3" s="999" t="s">
        <v>3</v>
      </c>
      <c r="G3" s="999" t="s">
        <v>16</v>
      </c>
      <c r="H3" s="1001" t="s">
        <v>17</v>
      </c>
      <c r="I3" s="1290" t="s">
        <v>1</v>
      </c>
      <c r="J3" s="1292" t="s">
        <v>2</v>
      </c>
      <c r="K3" s="993"/>
      <c r="L3" s="993"/>
      <c r="M3" s="993"/>
      <c r="N3" s="994"/>
    </row>
    <row r="4" spans="1:20" ht="15.75" thickBot="1" x14ac:dyDescent="0.3">
      <c r="A4" s="1191"/>
      <c r="B4" s="1289"/>
      <c r="C4" s="992"/>
      <c r="D4" s="1295"/>
      <c r="E4" s="1000"/>
      <c r="F4" s="1000"/>
      <c r="G4" s="1000"/>
      <c r="H4" s="1002"/>
      <c r="I4" s="1291"/>
      <c r="J4" s="1293"/>
      <c r="K4" s="995"/>
      <c r="L4" s="995"/>
      <c r="M4" s="995"/>
      <c r="N4" s="996"/>
    </row>
    <row r="5" spans="1:20" ht="15.75" thickTop="1" x14ac:dyDescent="0.25">
      <c r="A5" s="55" t="s">
        <v>48</v>
      </c>
      <c r="B5" s="54"/>
      <c r="C5" s="63"/>
      <c r="D5" s="65"/>
      <c r="E5" s="64"/>
      <c r="F5" s="62"/>
      <c r="G5" s="62"/>
      <c r="H5" s="61"/>
      <c r="I5" s="56"/>
      <c r="J5" s="57">
        <v>1</v>
      </c>
      <c r="K5" s="58">
        <v>2</v>
      </c>
      <c r="L5" s="58">
        <v>3</v>
      </c>
      <c r="M5" s="60">
        <v>4</v>
      </c>
      <c r="N5" s="59">
        <v>5</v>
      </c>
      <c r="P5" s="1280" t="s">
        <v>58</v>
      </c>
      <c r="Q5" s="1281"/>
      <c r="R5" s="1281"/>
      <c r="S5" s="1281"/>
      <c r="T5" s="1282"/>
    </row>
    <row r="6" spans="1:20" s="105" customFormat="1" x14ac:dyDescent="0.25">
      <c r="A6" s="89">
        <v>1</v>
      </c>
      <c r="B6" s="68">
        <f>'Plot By Plot SoA'!C88</f>
        <v>75</v>
      </c>
      <c r="C6" s="105">
        <f>'Plot By Plot SoA'!D88</f>
        <v>54.1</v>
      </c>
      <c r="D6" s="93">
        <f>'Plot By Plot SoA'!E88</f>
        <v>582.32699000000002</v>
      </c>
      <c r="E6" s="102"/>
      <c r="F6" s="75"/>
      <c r="G6" s="75"/>
      <c r="H6" s="172">
        <f>'Plot By Plot SoA'!J88</f>
        <v>0</v>
      </c>
      <c r="I6" s="92"/>
      <c r="J6" s="74" t="str">
        <f>'Plot By Plot SoA'!L88</f>
        <v>Y</v>
      </c>
      <c r="K6" s="75"/>
      <c r="L6" s="75"/>
      <c r="M6" s="75"/>
      <c r="N6" s="73"/>
      <c r="P6" s="166"/>
      <c r="Q6" s="161" t="s">
        <v>54</v>
      </c>
      <c r="R6" s="161" t="s">
        <v>55</v>
      </c>
      <c r="S6" s="162" t="s">
        <v>56</v>
      </c>
      <c r="T6" s="165" t="s">
        <v>52</v>
      </c>
    </row>
    <row r="7" spans="1:20" s="105" customFormat="1" x14ac:dyDescent="0.25">
      <c r="A7" s="67">
        <v>2</v>
      </c>
      <c r="B7" s="77">
        <f>'Plot By Plot SoA'!C89</f>
        <v>76</v>
      </c>
      <c r="C7" s="105">
        <f>'Plot By Plot SoA'!D89</f>
        <v>93.3</v>
      </c>
      <c r="D7" s="104">
        <f>'Plot By Plot SoA'!E89</f>
        <v>1004.2718699999999</v>
      </c>
      <c r="E7" s="69"/>
      <c r="F7" s="76"/>
      <c r="G7" s="76"/>
      <c r="H7" s="79">
        <f>'Plot By Plot SoA'!J89</f>
        <v>0</v>
      </c>
      <c r="I7" s="73"/>
      <c r="J7" s="78">
        <f>'Plot By Plot SoA'!L89</f>
        <v>0</v>
      </c>
      <c r="K7" s="76"/>
      <c r="L7" s="76"/>
      <c r="M7" s="76"/>
      <c r="N7" s="73"/>
      <c r="P7" s="157" t="s">
        <v>28</v>
      </c>
      <c r="Q7" s="105">
        <v>0</v>
      </c>
      <c r="R7" s="105">
        <v>0</v>
      </c>
      <c r="S7" s="72">
        <v>5</v>
      </c>
      <c r="T7" s="73">
        <f>SUM(Q7:S7)</f>
        <v>5</v>
      </c>
    </row>
    <row r="8" spans="1:20" s="105" customFormat="1" x14ac:dyDescent="0.25">
      <c r="A8" s="67">
        <v>3</v>
      </c>
      <c r="B8" s="77">
        <f>'Plot By Plot SoA'!C90</f>
        <v>77</v>
      </c>
      <c r="C8" s="105">
        <f>'Plot By Plot SoA'!D90</f>
        <v>72.7</v>
      </c>
      <c r="D8" s="104">
        <f>'Plot By Plot SoA'!E90</f>
        <v>782.53552999999999</v>
      </c>
      <c r="E8" s="69"/>
      <c r="F8" s="76"/>
      <c r="G8" s="76"/>
      <c r="H8" s="79">
        <f>'Plot By Plot SoA'!J90</f>
        <v>0</v>
      </c>
      <c r="I8" s="73"/>
      <c r="J8" s="78"/>
      <c r="K8" s="76" t="str">
        <f>'Plot By Plot SoA'!M90</f>
        <v>Y</v>
      </c>
      <c r="L8" s="76"/>
      <c r="M8" s="76"/>
      <c r="N8" s="73"/>
      <c r="P8" s="157" t="s">
        <v>29</v>
      </c>
      <c r="Q8" s="105">
        <v>0</v>
      </c>
      <c r="R8" s="105">
        <v>0</v>
      </c>
      <c r="S8" s="72">
        <v>3</v>
      </c>
      <c r="T8" s="73">
        <f>SUM(Q8:S8)</f>
        <v>3</v>
      </c>
    </row>
    <row r="9" spans="1:20" s="105" customFormat="1" ht="15.75" thickBot="1" x14ac:dyDescent="0.3">
      <c r="A9" s="67">
        <v>4</v>
      </c>
      <c r="B9" s="77">
        <f>'Plot By Plot SoA'!C91</f>
        <v>78</v>
      </c>
      <c r="C9" s="105">
        <f>'Plot By Plot SoA'!D91</f>
        <v>78.599999999999994</v>
      </c>
      <c r="D9" s="104">
        <f>'Plot By Plot SoA'!E91</f>
        <v>846.04253999999992</v>
      </c>
      <c r="E9" s="69"/>
      <c r="F9" s="76"/>
      <c r="G9" s="76"/>
      <c r="H9" s="79">
        <f>'Plot By Plot SoA'!J91</f>
        <v>0</v>
      </c>
      <c r="I9" s="73"/>
      <c r="J9" s="78">
        <f>'Plot By Plot SoA'!L91</f>
        <v>0</v>
      </c>
      <c r="K9" s="76"/>
      <c r="L9" s="76"/>
      <c r="M9" s="76"/>
      <c r="N9" s="73"/>
      <c r="P9" s="167" t="s">
        <v>30</v>
      </c>
      <c r="Q9" s="163">
        <v>0</v>
      </c>
      <c r="R9" s="163">
        <v>0</v>
      </c>
      <c r="S9" s="164">
        <v>0</v>
      </c>
      <c r="T9" s="73">
        <f>SUM(Q9:S9)</f>
        <v>0</v>
      </c>
    </row>
    <row r="10" spans="1:20" s="105" customFormat="1" ht="15.75" thickBot="1" x14ac:dyDescent="0.3">
      <c r="A10" s="67">
        <v>5</v>
      </c>
      <c r="B10" s="77">
        <f>'Plot By Plot SoA'!C92</f>
        <v>79</v>
      </c>
      <c r="C10" s="105">
        <f>'Plot By Plot SoA'!D92</f>
        <v>84.7</v>
      </c>
      <c r="D10" s="104">
        <f>'Plot By Plot SoA'!E92</f>
        <v>911.70232999999996</v>
      </c>
      <c r="E10" s="69"/>
      <c r="F10" s="76"/>
      <c r="G10" s="76"/>
      <c r="H10" s="79">
        <f>'Plot By Plot SoA'!J92</f>
        <v>0</v>
      </c>
      <c r="I10" s="73"/>
      <c r="J10" s="78"/>
      <c r="K10" s="76">
        <f>'Plot By Plot SoA'!M92</f>
        <v>0</v>
      </c>
      <c r="L10" s="76"/>
      <c r="M10" s="76"/>
      <c r="N10" s="73"/>
      <c r="P10" s="158" t="s">
        <v>52</v>
      </c>
      <c r="Q10" s="156">
        <f>SUM(Q7:Q9)</f>
        <v>0</v>
      </c>
      <c r="R10" s="156">
        <f>SUM(R7:R9)</f>
        <v>0</v>
      </c>
      <c r="S10" s="156">
        <f>SUM(S7:S9)</f>
        <v>8</v>
      </c>
      <c r="T10" s="155">
        <f>SUM(Q10:S10)</f>
        <v>8</v>
      </c>
    </row>
    <row r="11" spans="1:20" s="105" customFormat="1" x14ac:dyDescent="0.25">
      <c r="A11" s="67">
        <v>6</v>
      </c>
      <c r="B11" s="77">
        <f>'Plot By Plot SoA'!C93</f>
        <v>80</v>
      </c>
      <c r="C11" s="105">
        <f>'Plot By Plot SoA'!D93</f>
        <v>84.7</v>
      </c>
      <c r="D11" s="104">
        <f>'Plot By Plot SoA'!E93</f>
        <v>911.70232999999996</v>
      </c>
      <c r="E11" s="69"/>
      <c r="F11" s="76"/>
      <c r="G11" s="76"/>
      <c r="H11" s="79">
        <f>'Plot By Plot SoA'!J93</f>
        <v>0</v>
      </c>
      <c r="I11" s="73"/>
      <c r="J11" s="78">
        <f>'Plot By Plot SoA'!L93</f>
        <v>0</v>
      </c>
      <c r="K11" s="76"/>
      <c r="L11" s="76"/>
      <c r="M11" s="76"/>
      <c r="N11" s="73"/>
    </row>
    <row r="12" spans="1:20" s="105" customFormat="1" x14ac:dyDescent="0.25">
      <c r="A12" s="67">
        <v>7</v>
      </c>
      <c r="B12" s="77">
        <f>'Plot By Plot SoA'!C94</f>
        <v>81</v>
      </c>
      <c r="C12" s="105">
        <f>'Plot By Plot SoA'!D94</f>
        <v>49.3</v>
      </c>
      <c r="D12" s="104">
        <f>'Plot By Plot SoA'!E94</f>
        <v>530.66026999999997</v>
      </c>
      <c r="E12" s="69"/>
      <c r="F12" s="76"/>
      <c r="G12" s="76"/>
      <c r="H12" s="79">
        <f>'Plot By Plot SoA'!J94</f>
        <v>0</v>
      </c>
      <c r="I12" s="73"/>
      <c r="J12" s="78"/>
      <c r="K12" s="76">
        <f>'Plot By Plot SoA'!M94</f>
        <v>0</v>
      </c>
      <c r="L12" s="76"/>
      <c r="M12" s="76"/>
      <c r="N12" s="73"/>
    </row>
    <row r="13" spans="1:20" s="105" customFormat="1" ht="15.75" thickBot="1" x14ac:dyDescent="0.3">
      <c r="A13" s="80">
        <v>8</v>
      </c>
      <c r="B13" s="81" t="e">
        <f>'Plot By Plot SoA'!#REF!</f>
        <v>#REF!</v>
      </c>
      <c r="C13" s="105" t="e">
        <f>'Plot By Plot SoA'!#REF!</f>
        <v>#REF!</v>
      </c>
      <c r="D13" s="106" t="e">
        <f>'Plot By Plot SoA'!#REF!</f>
        <v>#REF!</v>
      </c>
      <c r="E13" s="82"/>
      <c r="F13" s="88"/>
      <c r="G13" s="88"/>
      <c r="H13" s="83" t="e">
        <f>'Plot By Plot SoA'!#REF!</f>
        <v>#REF!</v>
      </c>
      <c r="I13" s="86"/>
      <c r="J13" s="87" t="e">
        <f>'Plot By Plot SoA'!#REF!</f>
        <v>#REF!</v>
      </c>
      <c r="K13" s="88"/>
      <c r="L13" s="88"/>
      <c r="M13" s="88"/>
      <c r="N13" s="73"/>
    </row>
    <row r="14" spans="1:20" s="105" customFormat="1" ht="39" customHeight="1" thickBot="1" x14ac:dyDescent="0.3">
      <c r="A14" s="139" t="s">
        <v>47</v>
      </c>
      <c r="B14" s="171">
        <f>COUNTA(B6:B13)</f>
        <v>8</v>
      </c>
      <c r="C14" s="125" t="e">
        <f>SUM(C6:C13)</f>
        <v>#REF!</v>
      </c>
      <c r="D14" s="110" t="e">
        <f>SUM(C14*10.7639)</f>
        <v>#REF!</v>
      </c>
      <c r="E14" s="107">
        <f>COUNTA(E6:E13)</f>
        <v>0</v>
      </c>
      <c r="F14" s="107">
        <f t="shared" ref="F14:N14" si="0">COUNTA(F6:F13)</f>
        <v>0</v>
      </c>
      <c r="G14" s="107">
        <f t="shared" si="0"/>
        <v>0</v>
      </c>
      <c r="H14" s="107">
        <f t="shared" si="0"/>
        <v>8</v>
      </c>
      <c r="I14" s="107">
        <f t="shared" si="0"/>
        <v>0</v>
      </c>
      <c r="J14" s="107">
        <f t="shared" si="0"/>
        <v>5</v>
      </c>
      <c r="K14" s="107">
        <f t="shared" si="0"/>
        <v>3</v>
      </c>
      <c r="L14" s="107">
        <f t="shared" si="0"/>
        <v>0</v>
      </c>
      <c r="M14" s="107">
        <f t="shared" si="0"/>
        <v>0</v>
      </c>
      <c r="N14" s="108">
        <f t="shared" si="0"/>
        <v>0</v>
      </c>
    </row>
    <row r="15" spans="1:20" s="105" customFormat="1" ht="15.75" thickTop="1" x14ac:dyDescent="0.25">
      <c r="A15" s="55" t="s">
        <v>46</v>
      </c>
      <c r="B15" s="23"/>
      <c r="C15" s="148"/>
      <c r="D15" s="149"/>
      <c r="E15" s="150"/>
      <c r="F15" s="151"/>
      <c r="G15" s="151"/>
      <c r="H15" s="152"/>
      <c r="I15" s="1"/>
      <c r="J15" s="3">
        <v>1</v>
      </c>
      <c r="K15" s="4">
        <v>2</v>
      </c>
      <c r="L15" s="4">
        <v>3</v>
      </c>
      <c r="M15" s="153">
        <v>4</v>
      </c>
      <c r="N15" s="5">
        <v>5</v>
      </c>
      <c r="P15" s="1280" t="s">
        <v>59</v>
      </c>
      <c r="Q15" s="1281"/>
      <c r="R15" s="1281"/>
      <c r="S15" s="1281"/>
      <c r="T15" s="1282"/>
    </row>
    <row r="16" spans="1:20" s="105" customFormat="1" x14ac:dyDescent="0.25">
      <c r="A16" s="89">
        <v>9</v>
      </c>
      <c r="B16" s="77">
        <f>'Plot By Plot SoA'!C98</f>
        <v>85</v>
      </c>
      <c r="C16" s="71">
        <f>'Plot By Plot SoA'!D98</f>
        <v>78</v>
      </c>
      <c r="D16" s="104">
        <f>'Plot By Plot SoA'!E98</f>
        <v>839.58420000000001</v>
      </c>
      <c r="E16" s="69"/>
      <c r="F16" s="76"/>
      <c r="G16" s="76"/>
      <c r="H16" s="72">
        <f>'Plot By Plot SoA'!J98</f>
        <v>0</v>
      </c>
      <c r="I16" s="73"/>
      <c r="J16" s="78">
        <f>'Plot By Plot SoA'!L98</f>
        <v>0</v>
      </c>
      <c r="K16" s="71"/>
      <c r="L16" s="71"/>
      <c r="M16" s="71"/>
      <c r="N16" s="73"/>
      <c r="P16" s="166"/>
      <c r="Q16" s="161" t="s">
        <v>54</v>
      </c>
      <c r="R16" s="161" t="s">
        <v>55</v>
      </c>
      <c r="S16" s="162" t="s">
        <v>56</v>
      </c>
      <c r="T16" s="165" t="s">
        <v>52</v>
      </c>
    </row>
    <row r="17" spans="1:20" s="105" customFormat="1" x14ac:dyDescent="0.25">
      <c r="A17" s="67">
        <v>10</v>
      </c>
      <c r="B17" s="77">
        <f>'Plot By Plot SoA'!C99</f>
        <v>86</v>
      </c>
      <c r="C17" s="71">
        <f>'Plot By Plot SoA'!D99</f>
        <v>78</v>
      </c>
      <c r="D17" s="104">
        <f>'Plot By Plot SoA'!E99</f>
        <v>839.58420000000001</v>
      </c>
      <c r="E17" s="69"/>
      <c r="F17" s="76"/>
      <c r="G17" s="76"/>
      <c r="H17" s="72">
        <f>'Plot By Plot SoA'!J99</f>
        <v>0</v>
      </c>
      <c r="I17" s="73"/>
      <c r="J17" s="78">
        <f>'Plot By Plot SoA'!L99</f>
        <v>0</v>
      </c>
      <c r="K17" s="71"/>
      <c r="L17" s="71"/>
      <c r="M17" s="71"/>
      <c r="N17" s="73"/>
      <c r="P17" s="157" t="s">
        <v>28</v>
      </c>
      <c r="Q17" s="105">
        <v>0</v>
      </c>
      <c r="R17" s="105">
        <v>0</v>
      </c>
      <c r="S17" s="72">
        <v>12</v>
      </c>
      <c r="T17" s="73">
        <f>SUM(Q17:S17)</f>
        <v>12</v>
      </c>
    </row>
    <row r="18" spans="1:20" s="105" customFormat="1" x14ac:dyDescent="0.25">
      <c r="A18" s="67">
        <v>11</v>
      </c>
      <c r="B18" s="77">
        <f>'Plot By Plot SoA'!C100</f>
        <v>87</v>
      </c>
      <c r="C18" s="71">
        <f>'Plot By Plot SoA'!D100</f>
        <v>99.1</v>
      </c>
      <c r="D18" s="104">
        <f>'Plot By Plot SoA'!E100</f>
        <v>1066.7024899999999</v>
      </c>
      <c r="E18" s="69"/>
      <c r="F18" s="76"/>
      <c r="G18" s="76"/>
      <c r="H18" s="72">
        <f>'Plot By Plot SoA'!J100</f>
        <v>0</v>
      </c>
      <c r="I18" s="73"/>
      <c r="J18" s="78">
        <f>'Plot By Plot SoA'!L100</f>
        <v>0</v>
      </c>
      <c r="K18" s="71"/>
      <c r="L18" s="71"/>
      <c r="M18" s="71"/>
      <c r="N18" s="73"/>
      <c r="P18" s="157" t="s">
        <v>29</v>
      </c>
      <c r="Q18" s="105">
        <v>2</v>
      </c>
      <c r="R18" s="105">
        <v>21</v>
      </c>
      <c r="S18" s="72">
        <v>0</v>
      </c>
      <c r="T18" s="73">
        <f>SUM(Q18:S18)</f>
        <v>23</v>
      </c>
    </row>
    <row r="19" spans="1:20" s="105" customFormat="1" ht="15.75" thickBot="1" x14ac:dyDescent="0.3">
      <c r="A19" s="67">
        <v>12</v>
      </c>
      <c r="B19" s="77">
        <f>'Plot By Plot SoA'!C102</f>
        <v>88</v>
      </c>
      <c r="C19" s="71">
        <f>'Plot By Plot SoA'!D102</f>
        <v>131.4</v>
      </c>
      <c r="D19" s="104">
        <f>'Plot By Plot SoA'!E102</f>
        <v>1414.37646</v>
      </c>
      <c r="E19" s="69"/>
      <c r="F19" s="76"/>
      <c r="G19" s="76"/>
      <c r="H19" s="72">
        <f>'Plot By Plot SoA'!J102</f>
        <v>0</v>
      </c>
      <c r="I19" s="73"/>
      <c r="J19" s="78">
        <f>'Plot By Plot SoA'!L102</f>
        <v>0</v>
      </c>
      <c r="K19" s="71"/>
      <c r="L19" s="71"/>
      <c r="M19" s="71"/>
      <c r="N19" s="73"/>
      <c r="P19" s="167" t="s">
        <v>30</v>
      </c>
      <c r="Q19" s="163">
        <v>0</v>
      </c>
      <c r="R19" s="163">
        <v>0</v>
      </c>
      <c r="S19" s="164">
        <v>0</v>
      </c>
      <c r="T19" s="73">
        <f>SUM(Q19:S19)</f>
        <v>0</v>
      </c>
    </row>
    <row r="20" spans="1:20" s="105" customFormat="1" ht="15.75" thickBot="1" x14ac:dyDescent="0.3">
      <c r="A20" s="67">
        <v>13</v>
      </c>
      <c r="B20" s="77">
        <f>'Plot By Plot SoA'!C104</f>
        <v>89</v>
      </c>
      <c r="C20" s="71">
        <f>'Plot By Plot SoA'!D104</f>
        <v>131.4</v>
      </c>
      <c r="D20" s="104">
        <f>'Plot By Plot SoA'!E104</f>
        <v>1414.37646</v>
      </c>
      <c r="E20" s="69"/>
      <c r="F20" s="76"/>
      <c r="G20" s="76"/>
      <c r="H20" s="72">
        <f>'Plot By Plot SoA'!J104</f>
        <v>0</v>
      </c>
      <c r="I20" s="73"/>
      <c r="J20" s="78">
        <f>'Plot By Plot SoA'!L104</f>
        <v>0</v>
      </c>
      <c r="K20" s="71"/>
      <c r="L20" s="71"/>
      <c r="M20" s="76"/>
      <c r="N20" s="73"/>
      <c r="P20" s="158" t="s">
        <v>52</v>
      </c>
      <c r="Q20" s="156">
        <f>SUM(Q17:Q19)</f>
        <v>2</v>
      </c>
      <c r="R20" s="156">
        <f>SUM(R17:R19)</f>
        <v>21</v>
      </c>
      <c r="S20" s="156">
        <f>SUM(S17:S19)</f>
        <v>12</v>
      </c>
      <c r="T20" s="155">
        <f>SUM(Q20:S20)</f>
        <v>35</v>
      </c>
    </row>
    <row r="21" spans="1:20" s="105" customFormat="1" x14ac:dyDescent="0.25">
      <c r="A21" s="67">
        <v>14</v>
      </c>
      <c r="B21" s="77">
        <f>'Plot By Plot SoA'!C105</f>
        <v>90</v>
      </c>
      <c r="C21" s="71">
        <f>'Plot By Plot SoA'!D105</f>
        <v>77.099999999999994</v>
      </c>
      <c r="D21" s="104">
        <f>'Plot By Plot SoA'!E105</f>
        <v>829.89668999999992</v>
      </c>
      <c r="E21" s="69"/>
      <c r="F21" s="76"/>
      <c r="G21" s="76"/>
      <c r="H21" s="72">
        <f>'Plot By Plot SoA'!J105</f>
        <v>0</v>
      </c>
      <c r="I21" s="73"/>
      <c r="J21" s="78">
        <f>'Plot By Plot SoA'!L105</f>
        <v>0</v>
      </c>
      <c r="K21" s="71"/>
      <c r="L21" s="76"/>
      <c r="M21" s="76"/>
      <c r="N21" s="73"/>
    </row>
    <row r="22" spans="1:20" s="105" customFormat="1" x14ac:dyDescent="0.25">
      <c r="A22" s="67">
        <v>15</v>
      </c>
      <c r="B22" s="77">
        <f>'Plot By Plot SoA'!C106</f>
        <v>91</v>
      </c>
      <c r="C22" s="71">
        <f>'Plot By Plot SoA'!D106</f>
        <v>70</v>
      </c>
      <c r="D22" s="104">
        <f>'Plot By Plot SoA'!E106</f>
        <v>753.47299999999996</v>
      </c>
      <c r="E22" s="69"/>
      <c r="F22" s="76"/>
      <c r="G22" s="76"/>
      <c r="H22" s="72">
        <f>'Plot By Plot SoA'!J106</f>
        <v>0</v>
      </c>
      <c r="I22" s="73"/>
      <c r="J22" s="78">
        <f>'Plot By Plot SoA'!L106</f>
        <v>0</v>
      </c>
      <c r="K22" s="76"/>
      <c r="L22" s="76"/>
      <c r="M22" s="76"/>
      <c r="N22" s="73"/>
    </row>
    <row r="23" spans="1:20" s="105" customFormat="1" x14ac:dyDescent="0.25">
      <c r="A23" s="67">
        <v>16</v>
      </c>
      <c r="B23" s="77">
        <f>'Plot By Plot SoA'!C107</f>
        <v>92</v>
      </c>
      <c r="C23" s="71">
        <f>'Plot By Plot SoA'!D107</f>
        <v>70</v>
      </c>
      <c r="D23" s="104">
        <f>'Plot By Plot SoA'!E107</f>
        <v>753.47299999999996</v>
      </c>
      <c r="E23" s="69"/>
      <c r="F23" s="71"/>
      <c r="G23" s="76"/>
      <c r="H23" s="72">
        <f>'Plot By Plot SoA'!J107</f>
        <v>0</v>
      </c>
      <c r="I23" s="73"/>
      <c r="J23" s="78">
        <f>'Plot By Plot SoA'!L107</f>
        <v>0</v>
      </c>
      <c r="K23" s="76"/>
      <c r="L23" s="76"/>
      <c r="M23" s="76"/>
      <c r="N23" s="73"/>
    </row>
    <row r="24" spans="1:20" s="105" customFormat="1" x14ac:dyDescent="0.25">
      <c r="A24" s="67">
        <v>17</v>
      </c>
      <c r="B24" s="77">
        <f>'Plot By Plot SoA'!C108</f>
        <v>93</v>
      </c>
      <c r="C24" s="71">
        <f>'Plot By Plot SoA'!D108</f>
        <v>76.599999999999994</v>
      </c>
      <c r="D24" s="104">
        <f>'Plot By Plot SoA'!E108</f>
        <v>824.51473999999996</v>
      </c>
      <c r="E24" s="69"/>
      <c r="F24" s="71"/>
      <c r="G24" s="76"/>
      <c r="H24" s="72">
        <f>'Plot By Plot SoA'!J108</f>
        <v>0</v>
      </c>
      <c r="I24" s="73"/>
      <c r="J24" s="78">
        <f>'Plot By Plot SoA'!L108</f>
        <v>0</v>
      </c>
      <c r="K24" s="76"/>
      <c r="L24" s="76"/>
      <c r="M24" s="76"/>
      <c r="N24" s="73"/>
    </row>
    <row r="25" spans="1:20" s="105" customFormat="1" x14ac:dyDescent="0.25">
      <c r="A25" s="67">
        <v>18</v>
      </c>
      <c r="B25" s="77">
        <f>'Plot By Plot SoA'!C111</f>
        <v>95</v>
      </c>
      <c r="C25" s="71">
        <f>'Plot By Plot SoA'!D111</f>
        <v>80.3</v>
      </c>
      <c r="D25" s="104">
        <f>'Plot By Plot SoA'!E111</f>
        <v>864.34116999999992</v>
      </c>
      <c r="E25" s="69"/>
      <c r="F25" s="71"/>
      <c r="G25" s="76"/>
      <c r="H25" s="72">
        <f>'Plot By Plot SoA'!J111</f>
        <v>0</v>
      </c>
      <c r="I25" s="73"/>
      <c r="J25" s="78">
        <f>'Plot By Plot SoA'!L111</f>
        <v>0</v>
      </c>
      <c r="K25" s="76"/>
      <c r="L25" s="76"/>
      <c r="M25" s="76"/>
      <c r="N25" s="73"/>
    </row>
    <row r="26" spans="1:20" s="105" customFormat="1" x14ac:dyDescent="0.25">
      <c r="A26" s="67">
        <v>19</v>
      </c>
      <c r="B26" s="77">
        <f>'Plot By Plot SoA'!C112</f>
        <v>96</v>
      </c>
      <c r="C26" s="71">
        <f>'Plot By Plot SoA'!D112</f>
        <v>81</v>
      </c>
      <c r="D26" s="104">
        <f>'Plot By Plot SoA'!E112</f>
        <v>871.8759</v>
      </c>
      <c r="E26" s="69"/>
      <c r="F26" s="71"/>
      <c r="G26" s="76">
        <f>'Plot By Plot SoA'!I112</f>
        <v>0</v>
      </c>
      <c r="H26" s="72"/>
      <c r="I26" s="73"/>
      <c r="J26" s="78"/>
      <c r="K26" s="76">
        <f>'Plot By Plot SoA'!M112</f>
        <v>0</v>
      </c>
      <c r="L26" s="76"/>
      <c r="M26" s="76"/>
      <c r="N26" s="73"/>
    </row>
    <row r="27" spans="1:20" s="105" customFormat="1" x14ac:dyDescent="0.25">
      <c r="A27" s="67">
        <v>20</v>
      </c>
      <c r="B27" s="77">
        <f>'Plot By Plot SoA'!C117</f>
        <v>98</v>
      </c>
      <c r="C27" s="71">
        <f>'Plot By Plot SoA'!D117</f>
        <v>179.6</v>
      </c>
      <c r="D27" s="104">
        <f>'Plot By Plot SoA'!E117</f>
        <v>1933.1964399999999</v>
      </c>
      <c r="E27" s="69"/>
      <c r="F27" s="71"/>
      <c r="G27" s="76">
        <f>'Plot By Plot SoA'!I117</f>
        <v>0</v>
      </c>
      <c r="H27" s="72"/>
      <c r="I27" s="73"/>
      <c r="J27" s="78"/>
      <c r="K27" s="76">
        <f>'Plot By Plot SoA'!M117</f>
        <v>0</v>
      </c>
      <c r="L27" s="76"/>
      <c r="M27" s="76"/>
      <c r="N27" s="73"/>
    </row>
    <row r="28" spans="1:20" s="105" customFormat="1" x14ac:dyDescent="0.25">
      <c r="A28" s="67">
        <v>21</v>
      </c>
      <c r="B28" s="77">
        <f>'Plot By Plot SoA'!C121</f>
        <v>100</v>
      </c>
      <c r="C28" s="71">
        <f>'Plot By Plot SoA'!D121</f>
        <v>95</v>
      </c>
      <c r="D28" s="104">
        <f>'Plot By Plot SoA'!E121</f>
        <v>1022.5704999999999</v>
      </c>
      <c r="E28" s="69"/>
      <c r="F28" s="71"/>
      <c r="G28" s="76">
        <f>'Plot By Plot SoA'!I121</f>
        <v>0</v>
      </c>
      <c r="H28" s="72"/>
      <c r="I28" s="73"/>
      <c r="J28" s="78"/>
      <c r="K28" s="76" t="str">
        <f>'Plot By Plot SoA'!M121</f>
        <v>Y</v>
      </c>
      <c r="L28" s="76"/>
      <c r="M28" s="76"/>
      <c r="N28" s="73"/>
    </row>
    <row r="29" spans="1:20" s="105" customFormat="1" x14ac:dyDescent="0.25">
      <c r="A29" s="67">
        <v>22</v>
      </c>
      <c r="B29" s="77">
        <f>'Plot By Plot SoA'!C123</f>
        <v>102</v>
      </c>
      <c r="C29" s="71">
        <f>'Plot By Plot SoA'!D123</f>
        <v>83.1</v>
      </c>
      <c r="D29" s="104">
        <f>'Plot By Plot SoA'!E123</f>
        <v>894.4800899999999</v>
      </c>
      <c r="E29" s="69"/>
      <c r="F29" s="71"/>
      <c r="G29" s="76">
        <f>'Plot By Plot SoA'!I123</f>
        <v>0</v>
      </c>
      <c r="H29" s="72"/>
      <c r="I29" s="73"/>
      <c r="J29" s="78"/>
      <c r="K29" s="76">
        <f>'Plot By Plot SoA'!M123</f>
        <v>0</v>
      </c>
      <c r="L29" s="76"/>
      <c r="M29" s="76"/>
      <c r="N29" s="73"/>
    </row>
    <row r="30" spans="1:20" s="105" customFormat="1" x14ac:dyDescent="0.25">
      <c r="A30" s="67">
        <v>23</v>
      </c>
      <c r="B30" s="77">
        <f>'Plot By Plot SoA'!C126</f>
        <v>104</v>
      </c>
      <c r="C30" s="71">
        <f>'Plot By Plot SoA'!D126</f>
        <v>94.4</v>
      </c>
      <c r="D30" s="104">
        <f>'Plot By Plot SoA'!E126</f>
        <v>1016.11216</v>
      </c>
      <c r="E30" s="69"/>
      <c r="F30" s="71"/>
      <c r="G30" s="76">
        <f>'Plot By Plot SoA'!I126</f>
        <v>0</v>
      </c>
      <c r="H30" s="72"/>
      <c r="I30" s="73"/>
      <c r="J30" s="78"/>
      <c r="K30" s="76" t="str">
        <f>'Plot By Plot SoA'!M126</f>
        <v>Y</v>
      </c>
      <c r="L30" s="76"/>
      <c r="M30" s="76"/>
      <c r="N30" s="73"/>
    </row>
    <row r="31" spans="1:20" s="105" customFormat="1" x14ac:dyDescent="0.25">
      <c r="A31" s="67">
        <v>24</v>
      </c>
      <c r="B31" s="77">
        <f>'Plot By Plot SoA'!C129</f>
        <v>106</v>
      </c>
      <c r="C31" s="71">
        <f>'Plot By Plot SoA'!D129</f>
        <v>89.4</v>
      </c>
      <c r="D31" s="104">
        <f>'Plot By Plot SoA'!E129</f>
        <v>962.29266000000007</v>
      </c>
      <c r="E31" s="69"/>
      <c r="F31" s="71"/>
      <c r="G31" s="76">
        <f>'Plot By Plot SoA'!I129</f>
        <v>0</v>
      </c>
      <c r="H31" s="72"/>
      <c r="I31" s="73"/>
      <c r="J31" s="78"/>
      <c r="K31" s="76">
        <f>'Plot By Plot SoA'!M129</f>
        <v>0</v>
      </c>
      <c r="L31" s="76"/>
      <c r="M31" s="76"/>
      <c r="N31" s="73"/>
    </row>
    <row r="32" spans="1:20" s="105" customFormat="1" x14ac:dyDescent="0.25">
      <c r="A32" s="67">
        <v>25</v>
      </c>
      <c r="B32" s="77">
        <f>'Plot By Plot SoA'!C131</f>
        <v>108</v>
      </c>
      <c r="C32" s="71">
        <f>'Plot By Plot SoA'!D131</f>
        <v>108</v>
      </c>
      <c r="D32" s="104">
        <f>'Plot By Plot SoA'!E131</f>
        <v>1162.5011999999999</v>
      </c>
      <c r="E32" s="69"/>
      <c r="F32" s="71"/>
      <c r="G32" s="76">
        <f>'Plot By Plot SoA'!I131</f>
        <v>0</v>
      </c>
      <c r="H32" s="72"/>
      <c r="I32" s="73"/>
      <c r="J32" s="78"/>
      <c r="K32" s="76">
        <f>'Plot By Plot SoA'!M131</f>
        <v>0</v>
      </c>
      <c r="L32" s="76"/>
      <c r="M32" s="76"/>
      <c r="N32" s="73"/>
    </row>
    <row r="33" spans="1:14" s="105" customFormat="1" x14ac:dyDescent="0.25">
      <c r="A33" s="67">
        <v>26</v>
      </c>
      <c r="B33" s="77">
        <f>'Plot By Plot SoA'!C133</f>
        <v>110</v>
      </c>
      <c r="C33" s="71">
        <f>'Plot By Plot SoA'!D133</f>
        <v>72.900000000000006</v>
      </c>
      <c r="D33" s="104">
        <f>'Plot By Plot SoA'!E133</f>
        <v>784.68831</v>
      </c>
      <c r="E33" s="69"/>
      <c r="F33" s="71"/>
      <c r="G33" s="76">
        <f>'Plot By Plot SoA'!I133</f>
        <v>0</v>
      </c>
      <c r="H33" s="72"/>
      <c r="I33" s="73"/>
      <c r="J33" s="78"/>
      <c r="K33" s="76" t="str">
        <f>'Plot By Plot SoA'!M133</f>
        <v>Y</v>
      </c>
      <c r="L33" s="76"/>
      <c r="M33" s="76"/>
      <c r="N33" s="73"/>
    </row>
    <row r="34" spans="1:14" s="105" customFormat="1" x14ac:dyDescent="0.25">
      <c r="A34" s="67">
        <v>27</v>
      </c>
      <c r="B34" s="77">
        <f>'Plot By Plot SoA'!C135</f>
        <v>112</v>
      </c>
      <c r="C34" s="71">
        <f>'Plot By Plot SoA'!D135</f>
        <v>100.4</v>
      </c>
      <c r="D34" s="104">
        <f>'Plot By Plot SoA'!E135</f>
        <v>1080.6955600000001</v>
      </c>
      <c r="E34" s="69"/>
      <c r="F34" s="71"/>
      <c r="G34" s="76">
        <f>'Plot By Plot SoA'!I135</f>
        <v>0</v>
      </c>
      <c r="H34" s="72"/>
      <c r="I34" s="73"/>
      <c r="J34" s="78"/>
      <c r="K34" s="76">
        <f>'Plot By Plot SoA'!M135</f>
        <v>0</v>
      </c>
      <c r="L34" s="76"/>
      <c r="M34" s="76"/>
      <c r="N34" s="73"/>
    </row>
    <row r="35" spans="1:14" s="105" customFormat="1" x14ac:dyDescent="0.25">
      <c r="A35" s="67">
        <v>28</v>
      </c>
      <c r="B35" s="77">
        <f>'Plot By Plot SoA'!C138</f>
        <v>114</v>
      </c>
      <c r="C35" s="71">
        <f>'Plot By Plot SoA'!D138</f>
        <v>100.4</v>
      </c>
      <c r="D35" s="104">
        <f>'Plot By Plot SoA'!E138</f>
        <v>1080.6955600000001</v>
      </c>
      <c r="E35" s="69"/>
      <c r="F35" s="71"/>
      <c r="G35" s="76">
        <f>'Plot By Plot SoA'!I138</f>
        <v>0</v>
      </c>
      <c r="H35" s="72"/>
      <c r="I35" s="73"/>
      <c r="J35" s="78"/>
      <c r="K35" s="76">
        <f>'Plot By Plot SoA'!M138</f>
        <v>0</v>
      </c>
      <c r="L35" s="76"/>
      <c r="M35" s="76"/>
      <c r="N35" s="73"/>
    </row>
    <row r="36" spans="1:14" s="105" customFormat="1" x14ac:dyDescent="0.25">
      <c r="A36" s="67">
        <v>29</v>
      </c>
      <c r="B36" s="77">
        <f>'Plot By Plot SoA'!C140</f>
        <v>116</v>
      </c>
      <c r="C36" s="71">
        <f>'Plot By Plot SoA'!D140</f>
        <v>87.7</v>
      </c>
      <c r="D36" s="104">
        <f>'Plot By Plot SoA'!E140</f>
        <v>943.99402999999995</v>
      </c>
      <c r="E36" s="69"/>
      <c r="F36" s="71"/>
      <c r="G36" s="76">
        <f>'Plot By Plot SoA'!I140</f>
        <v>0</v>
      </c>
      <c r="H36" s="72"/>
      <c r="I36" s="73"/>
      <c r="J36" s="78"/>
      <c r="K36" s="76" t="str">
        <f>'Plot By Plot SoA'!M140</f>
        <v>Y</v>
      </c>
      <c r="L36" s="76"/>
      <c r="M36" s="76"/>
      <c r="N36" s="73"/>
    </row>
    <row r="37" spans="1:14" s="105" customFormat="1" x14ac:dyDescent="0.25">
      <c r="A37" s="67">
        <v>30</v>
      </c>
      <c r="B37" s="77">
        <f>'Plot By Plot SoA'!C143</f>
        <v>118</v>
      </c>
      <c r="C37" s="71">
        <f>'Plot By Plot SoA'!D143</f>
        <v>95</v>
      </c>
      <c r="D37" s="104">
        <f>'Plot By Plot SoA'!E143</f>
        <v>1022.5704999999999</v>
      </c>
      <c r="E37" s="69"/>
      <c r="F37" s="71"/>
      <c r="G37" s="76"/>
      <c r="H37" s="72">
        <f>'Plot By Plot SoA'!J143</f>
        <v>0</v>
      </c>
      <c r="I37" s="73"/>
      <c r="J37" s="78">
        <f>'Plot By Plot SoA'!L143</f>
        <v>0</v>
      </c>
      <c r="K37" s="76"/>
      <c r="L37" s="76"/>
      <c r="M37" s="76"/>
      <c r="N37" s="73"/>
    </row>
    <row r="38" spans="1:14" s="105" customFormat="1" x14ac:dyDescent="0.25">
      <c r="A38" s="67">
        <v>31</v>
      </c>
      <c r="B38" s="77">
        <f>'Plot By Plot SoA'!C144</f>
        <v>119</v>
      </c>
      <c r="C38" s="71">
        <f>'Plot By Plot SoA'!D144</f>
        <v>95</v>
      </c>
      <c r="D38" s="104">
        <f>'Plot By Plot SoA'!E144</f>
        <v>1022.5704999999999</v>
      </c>
      <c r="E38" s="69"/>
      <c r="F38" s="71"/>
      <c r="G38" s="76"/>
      <c r="H38" s="72">
        <f>'Plot By Plot SoA'!J144</f>
        <v>0</v>
      </c>
      <c r="I38" s="73"/>
      <c r="J38" s="78">
        <f>'Plot By Plot SoA'!L144</f>
        <v>0</v>
      </c>
      <c r="K38" s="76"/>
      <c r="L38" s="76"/>
      <c r="M38" s="76"/>
      <c r="N38" s="73"/>
    </row>
    <row r="39" spans="1:14" s="105" customFormat="1" x14ac:dyDescent="0.25">
      <c r="A39" s="67">
        <v>32</v>
      </c>
      <c r="B39" s="77">
        <f>'Plot By Plot SoA'!C145</f>
        <v>120</v>
      </c>
      <c r="C39" s="71">
        <f>'Plot By Plot SoA'!D145</f>
        <v>83.1</v>
      </c>
      <c r="D39" s="104">
        <f>'Plot By Plot SoA'!E145</f>
        <v>894.4800899999999</v>
      </c>
      <c r="E39" s="69"/>
      <c r="F39" s="71"/>
      <c r="G39" s="76">
        <f>'Plot By Plot SoA'!I145</f>
        <v>0</v>
      </c>
      <c r="H39" s="72"/>
      <c r="I39" s="73"/>
      <c r="J39" s="78"/>
      <c r="K39" s="76">
        <f>'Plot By Plot SoA'!M145</f>
        <v>0</v>
      </c>
      <c r="L39" s="76"/>
      <c r="M39" s="76"/>
      <c r="N39" s="73"/>
    </row>
    <row r="40" spans="1:14" s="105" customFormat="1" x14ac:dyDescent="0.25">
      <c r="A40" s="67">
        <v>33</v>
      </c>
      <c r="B40" s="77">
        <f>'Plot By Plot SoA'!C148</f>
        <v>122</v>
      </c>
      <c r="C40" s="71">
        <f>'Plot By Plot SoA'!D148</f>
        <v>77.5</v>
      </c>
      <c r="D40" s="104">
        <f>'Plot By Plot SoA'!E148</f>
        <v>834.20224999999994</v>
      </c>
      <c r="E40" s="69"/>
      <c r="F40" s="71"/>
      <c r="G40" s="76">
        <f>'Plot By Plot SoA'!I148</f>
        <v>0</v>
      </c>
      <c r="H40" s="72"/>
      <c r="I40" s="73"/>
      <c r="J40" s="78"/>
      <c r="K40" s="76" t="str">
        <f>'Plot By Plot SoA'!M148</f>
        <v>Y</v>
      </c>
      <c r="L40" s="76"/>
      <c r="M40" s="76"/>
      <c r="N40" s="73"/>
    </row>
    <row r="41" spans="1:14" s="105" customFormat="1" x14ac:dyDescent="0.25">
      <c r="A41" s="67">
        <v>34</v>
      </c>
      <c r="B41" s="77">
        <f>'Plot By Plot SoA'!C150</f>
        <v>124</v>
      </c>
      <c r="C41" s="71">
        <f>'Plot By Plot SoA'!D150</f>
        <v>99</v>
      </c>
      <c r="D41" s="104">
        <f>'Plot By Plot SoA'!E150</f>
        <v>1065.6261</v>
      </c>
      <c r="E41" s="69"/>
      <c r="F41" s="71"/>
      <c r="G41" s="76">
        <f>'Plot By Plot SoA'!I150</f>
        <v>0</v>
      </c>
      <c r="H41" s="72"/>
      <c r="I41" s="73"/>
      <c r="J41" s="78"/>
      <c r="K41" s="76" t="str">
        <f>'Plot By Plot SoA'!M150</f>
        <v>Y</v>
      </c>
      <c r="L41" s="76"/>
      <c r="M41" s="76"/>
      <c r="N41" s="73"/>
    </row>
    <row r="42" spans="1:14" s="105" customFormat="1" x14ac:dyDescent="0.25">
      <c r="A42" s="67">
        <v>35</v>
      </c>
      <c r="B42" s="77">
        <f>'Plot By Plot SoA'!C152</f>
        <v>126</v>
      </c>
      <c r="C42" s="71">
        <f>'Plot By Plot SoA'!D152</f>
        <v>75.3</v>
      </c>
      <c r="D42" s="104">
        <f>'Plot By Plot SoA'!E152</f>
        <v>810.52166999999997</v>
      </c>
      <c r="E42" s="69"/>
      <c r="F42" s="71"/>
      <c r="G42" s="76">
        <f>'Plot By Plot SoA'!I152</f>
        <v>0</v>
      </c>
      <c r="H42" s="72"/>
      <c r="I42" s="73"/>
      <c r="J42" s="78"/>
      <c r="K42" s="76" t="str">
        <f>'Plot By Plot SoA'!M152</f>
        <v>Y</v>
      </c>
      <c r="L42" s="76"/>
      <c r="M42" s="76"/>
      <c r="N42" s="73"/>
    </row>
    <row r="43" spans="1:14" s="105" customFormat="1" x14ac:dyDescent="0.25">
      <c r="A43" s="67">
        <v>36</v>
      </c>
      <c r="B43" s="77">
        <f>'Plot By Plot SoA'!C154</f>
        <v>128</v>
      </c>
      <c r="C43" s="71">
        <f>'Plot By Plot SoA'!D154</f>
        <v>70.599999999999994</v>
      </c>
      <c r="D43" s="104">
        <f>'Plot By Plot SoA'!E154</f>
        <v>759.93133999999986</v>
      </c>
      <c r="E43" s="69"/>
      <c r="F43" s="71"/>
      <c r="G43" s="76">
        <f>'Plot By Plot SoA'!I154</f>
        <v>0</v>
      </c>
      <c r="H43" s="72"/>
      <c r="I43" s="73"/>
      <c r="J43" s="78"/>
      <c r="K43" s="76" t="str">
        <f>'Plot By Plot SoA'!M154</f>
        <v>Y</v>
      </c>
      <c r="L43" s="76"/>
      <c r="M43" s="76"/>
      <c r="N43" s="73"/>
    </row>
    <row r="44" spans="1:14" s="105" customFormat="1" x14ac:dyDescent="0.25">
      <c r="A44" s="67">
        <v>37</v>
      </c>
      <c r="B44" s="77">
        <f>'Plot By Plot SoA'!C156</f>
        <v>130</v>
      </c>
      <c r="C44" s="71">
        <f>'Plot By Plot SoA'!D156</f>
        <v>108.2</v>
      </c>
      <c r="D44" s="104">
        <f>'Plot By Plot SoA'!E156</f>
        <v>1164.65398</v>
      </c>
      <c r="E44" s="69"/>
      <c r="F44" s="71"/>
      <c r="G44" s="76">
        <f>'Plot By Plot SoA'!I156</f>
        <v>0</v>
      </c>
      <c r="H44" s="72"/>
      <c r="I44" s="73"/>
      <c r="J44" s="78"/>
      <c r="K44" s="76">
        <f>'Plot By Plot SoA'!M156</f>
        <v>0</v>
      </c>
      <c r="L44" s="76"/>
      <c r="M44" s="76"/>
      <c r="N44" s="73"/>
    </row>
    <row r="45" spans="1:14" s="105" customFormat="1" x14ac:dyDescent="0.25">
      <c r="A45" s="67">
        <v>38</v>
      </c>
      <c r="B45" s="77">
        <f>'Plot By Plot SoA'!C160</f>
        <v>132</v>
      </c>
      <c r="C45" s="71">
        <f>'Plot By Plot SoA'!D160</f>
        <v>72.599999999999994</v>
      </c>
      <c r="D45" s="104">
        <f>'Plot By Plot SoA'!E160</f>
        <v>781.45913999999993</v>
      </c>
      <c r="E45" s="69"/>
      <c r="F45" s="71"/>
      <c r="G45" s="76">
        <f>'Plot By Plot SoA'!I160</f>
        <v>0</v>
      </c>
      <c r="H45" s="72"/>
      <c r="I45" s="73"/>
      <c r="J45" s="78"/>
      <c r="K45" s="76" t="str">
        <f>'Plot By Plot SoA'!M160</f>
        <v>Y</v>
      </c>
      <c r="L45" s="76"/>
      <c r="M45" s="76"/>
      <c r="N45" s="73"/>
    </row>
    <row r="46" spans="1:14" s="105" customFormat="1" x14ac:dyDescent="0.25">
      <c r="A46" s="67">
        <v>39</v>
      </c>
      <c r="B46" s="77">
        <f>'Plot By Plot SoA'!C163</f>
        <v>134</v>
      </c>
      <c r="C46" s="71">
        <f>'Plot By Plot SoA'!D163</f>
        <v>97.1</v>
      </c>
      <c r="D46" s="104">
        <f>'Plot By Plot SoA'!E163</f>
        <v>1045.1746899999998</v>
      </c>
      <c r="E46" s="69"/>
      <c r="F46" s="71"/>
      <c r="G46" s="76">
        <f>'Plot By Plot SoA'!I163</f>
        <v>0</v>
      </c>
      <c r="H46" s="72"/>
      <c r="I46" s="73"/>
      <c r="J46" s="78"/>
      <c r="K46" s="76">
        <f>'Plot By Plot SoA'!M163</f>
        <v>0</v>
      </c>
      <c r="L46" s="76"/>
      <c r="M46" s="76"/>
      <c r="N46" s="73"/>
    </row>
    <row r="47" spans="1:14" s="105" customFormat="1" x14ac:dyDescent="0.25">
      <c r="A47" s="67">
        <v>40</v>
      </c>
      <c r="B47" s="77">
        <f>'Plot By Plot SoA'!C166</f>
        <v>136</v>
      </c>
      <c r="C47" s="71">
        <f>'Plot By Plot SoA'!D166</f>
        <v>88.5</v>
      </c>
      <c r="D47" s="104">
        <f>'Plot By Plot SoA'!E166</f>
        <v>952.60514999999998</v>
      </c>
      <c r="E47" s="69"/>
      <c r="F47" s="71"/>
      <c r="G47" s="76">
        <f>'Plot By Plot SoA'!I166</f>
        <v>0</v>
      </c>
      <c r="H47" s="72"/>
      <c r="I47" s="73"/>
      <c r="J47" s="78"/>
      <c r="K47" s="76">
        <f>'Plot By Plot SoA'!M166</f>
        <v>0</v>
      </c>
      <c r="L47" s="76"/>
      <c r="M47" s="76"/>
      <c r="N47" s="73"/>
    </row>
    <row r="48" spans="1:14" s="105" customFormat="1" x14ac:dyDescent="0.25">
      <c r="A48" s="67">
        <v>41</v>
      </c>
      <c r="B48" s="77">
        <f>'Plot By Plot SoA'!C168</f>
        <v>138</v>
      </c>
      <c r="C48" s="71">
        <f>'Plot By Plot SoA'!D168</f>
        <v>90.7</v>
      </c>
      <c r="D48" s="104">
        <f>'Plot By Plot SoA'!E168</f>
        <v>976.28572999999994</v>
      </c>
      <c r="E48" s="69"/>
      <c r="F48" s="71"/>
      <c r="G48" s="76">
        <f>'Plot By Plot SoA'!I168</f>
        <v>0</v>
      </c>
      <c r="H48" s="72"/>
      <c r="I48" s="73"/>
      <c r="J48" s="78"/>
      <c r="K48" s="76" t="str">
        <f>'Plot By Plot SoA'!M168</f>
        <v>Y</v>
      </c>
      <c r="L48" s="76"/>
      <c r="M48" s="76"/>
      <c r="N48" s="73"/>
    </row>
    <row r="49" spans="1:20" s="105" customFormat="1" x14ac:dyDescent="0.25">
      <c r="A49" s="67">
        <v>42</v>
      </c>
      <c r="B49" s="77">
        <f>'Plot By Plot SoA'!C170</f>
        <v>140</v>
      </c>
      <c r="C49" s="71">
        <f>'Plot By Plot SoA'!D170</f>
        <v>87.6</v>
      </c>
      <c r="D49" s="104">
        <f>'Plot By Plot SoA'!E170</f>
        <v>942.91763999999989</v>
      </c>
      <c r="E49" s="69"/>
      <c r="F49" s="71">
        <f>'Plot By Plot SoA'!H170</f>
        <v>0</v>
      </c>
      <c r="G49" s="76"/>
      <c r="H49" s="72"/>
      <c r="I49" s="73"/>
      <c r="J49" s="78"/>
      <c r="K49" s="76" t="str">
        <f>'Plot By Plot SoA'!M170</f>
        <v>Y</v>
      </c>
      <c r="L49" s="76"/>
      <c r="M49" s="76"/>
      <c r="N49" s="73"/>
    </row>
    <row r="50" spans="1:20" s="105" customFormat="1" ht="15.75" thickBot="1" x14ac:dyDescent="0.3">
      <c r="A50" s="80">
        <v>43</v>
      </c>
      <c r="B50" s="81">
        <f>'Plot By Plot SoA'!C171</f>
        <v>141</v>
      </c>
      <c r="C50" s="84">
        <f>'Plot By Plot SoA'!D171</f>
        <v>97.3</v>
      </c>
      <c r="D50" s="106">
        <f>'Plot By Plot SoA'!E171</f>
        <v>1047.3274699999999</v>
      </c>
      <c r="E50" s="82"/>
      <c r="F50" s="84">
        <f>'Plot By Plot SoA'!H171</f>
        <v>0</v>
      </c>
      <c r="G50" s="88"/>
      <c r="H50" s="72"/>
      <c r="I50" s="73"/>
      <c r="J50" s="87"/>
      <c r="K50" s="88">
        <f>'Plot By Plot SoA'!M171</f>
        <v>0</v>
      </c>
      <c r="L50" s="88"/>
      <c r="M50" s="88"/>
      <c r="N50" s="73"/>
    </row>
    <row r="51" spans="1:20" s="105" customFormat="1" ht="39" customHeight="1" thickBot="1" x14ac:dyDescent="0.3">
      <c r="A51" s="139" t="s">
        <v>47</v>
      </c>
      <c r="B51" s="140">
        <f>COUNTA(B16:B50)</f>
        <v>35</v>
      </c>
      <c r="C51" s="145">
        <f>SUM(C16:C50)</f>
        <v>3221.2999999999997</v>
      </c>
      <c r="D51" s="110">
        <f>SUM(C51*10.7639)</f>
        <v>34673.751069999998</v>
      </c>
      <c r="E51" s="107">
        <f>COUNTA(E16:E50)</f>
        <v>0</v>
      </c>
      <c r="F51" s="107">
        <f t="shared" ref="F51:N51" si="1">COUNTA(F16:F50)</f>
        <v>2</v>
      </c>
      <c r="G51" s="107">
        <f t="shared" si="1"/>
        <v>21</v>
      </c>
      <c r="H51" s="140">
        <f t="shared" si="1"/>
        <v>12</v>
      </c>
      <c r="I51" s="107">
        <f t="shared" si="1"/>
        <v>0</v>
      </c>
      <c r="J51" s="107">
        <f t="shared" si="1"/>
        <v>12</v>
      </c>
      <c r="K51" s="107">
        <f t="shared" si="1"/>
        <v>23</v>
      </c>
      <c r="L51" s="107">
        <f t="shared" si="1"/>
        <v>0</v>
      </c>
      <c r="M51" s="107">
        <f t="shared" si="1"/>
        <v>0</v>
      </c>
      <c r="N51" s="108">
        <f t="shared" si="1"/>
        <v>0</v>
      </c>
    </row>
    <row r="52" spans="1:20" s="105" customFormat="1" ht="15.75" thickTop="1" x14ac:dyDescent="0.25">
      <c r="A52" s="55" t="s">
        <v>49</v>
      </c>
      <c r="B52" s="23"/>
      <c r="C52" s="148"/>
      <c r="D52" s="149"/>
      <c r="E52" s="150"/>
      <c r="F52" s="151"/>
      <c r="G52" s="151"/>
      <c r="H52" s="173"/>
      <c r="I52" s="152"/>
      <c r="J52" s="3">
        <v>1</v>
      </c>
      <c r="K52" s="4">
        <v>2</v>
      </c>
      <c r="L52" s="4">
        <v>3</v>
      </c>
      <c r="M52" s="153">
        <v>4</v>
      </c>
      <c r="N52" s="5">
        <v>5</v>
      </c>
      <c r="P52" s="1280" t="s">
        <v>57</v>
      </c>
      <c r="Q52" s="1281"/>
      <c r="R52" s="1281"/>
      <c r="S52" s="1281"/>
      <c r="T52" s="1282"/>
    </row>
    <row r="53" spans="1:20" s="105" customFormat="1" x14ac:dyDescent="0.25">
      <c r="A53" s="89">
        <v>44</v>
      </c>
      <c r="B53" s="77">
        <f>'Plot By Plot SoA'!C178</f>
        <v>148</v>
      </c>
      <c r="C53" s="71">
        <f>'Plot By Plot SoA'!D178</f>
        <v>52.1</v>
      </c>
      <c r="D53" s="104">
        <f>'Plot By Plot SoA'!E178</f>
        <v>560.79918999999995</v>
      </c>
      <c r="E53" s="69"/>
      <c r="G53" s="76">
        <f>'Plot By Plot SoA'!I178</f>
        <v>0</v>
      </c>
      <c r="H53" s="72"/>
      <c r="I53" s="73"/>
      <c r="J53" s="78"/>
      <c r="K53" s="71">
        <f>'Plot By Plot SoA'!M178</f>
        <v>0</v>
      </c>
      <c r="L53" s="76"/>
      <c r="M53" s="76"/>
      <c r="N53" s="73"/>
      <c r="P53" s="166"/>
      <c r="Q53" s="161" t="s">
        <v>54</v>
      </c>
      <c r="R53" s="161" t="s">
        <v>55</v>
      </c>
      <c r="S53" s="162" t="s">
        <v>56</v>
      </c>
      <c r="T53" s="165" t="s">
        <v>52</v>
      </c>
    </row>
    <row r="54" spans="1:20" s="105" customFormat="1" x14ac:dyDescent="0.25">
      <c r="A54" s="67">
        <v>45</v>
      </c>
      <c r="B54" s="77">
        <f>'Plot By Plot SoA'!C179</f>
        <v>149</v>
      </c>
      <c r="C54" s="71">
        <f>'Plot By Plot SoA'!D179</f>
        <v>70</v>
      </c>
      <c r="D54" s="104">
        <f>'Plot By Plot SoA'!E179</f>
        <v>753.47299999999996</v>
      </c>
      <c r="E54" s="69"/>
      <c r="F54" s="71"/>
      <c r="G54" s="71" t="str">
        <f>'Plot By Plot SoA'!I179</f>
        <v>Y</v>
      </c>
      <c r="H54" s="72"/>
      <c r="I54" s="73"/>
      <c r="J54" s="78"/>
      <c r="K54" s="71" t="str">
        <f>'Plot By Plot SoA'!M179</f>
        <v>Y</v>
      </c>
      <c r="L54" s="76"/>
      <c r="M54" s="76"/>
      <c r="N54" s="73"/>
      <c r="P54" s="157" t="s">
        <v>28</v>
      </c>
      <c r="Q54" s="105">
        <v>0</v>
      </c>
      <c r="R54" s="105">
        <v>0</v>
      </c>
      <c r="S54" s="72">
        <v>0</v>
      </c>
      <c r="T54" s="73">
        <f>SUM(Q54:S54)</f>
        <v>0</v>
      </c>
    </row>
    <row r="55" spans="1:20" s="105" customFormat="1" x14ac:dyDescent="0.25">
      <c r="A55" s="67">
        <v>46</v>
      </c>
      <c r="B55" s="77">
        <f>'Plot By Plot SoA'!C180</f>
        <v>150</v>
      </c>
      <c r="C55" s="71">
        <f>'Plot By Plot SoA'!D180</f>
        <v>38.200000000000003</v>
      </c>
      <c r="D55" s="104">
        <f>'Plot By Plot SoA'!E180</f>
        <v>411.18098000000003</v>
      </c>
      <c r="E55" s="69"/>
      <c r="F55" s="71"/>
      <c r="G55" s="71">
        <f>'Plot By Plot SoA'!I180</f>
        <v>0</v>
      </c>
      <c r="H55" s="72"/>
      <c r="I55" s="73"/>
      <c r="J55" s="78"/>
      <c r="K55" s="71">
        <f>'Plot By Plot SoA'!M180</f>
        <v>0</v>
      </c>
      <c r="L55" s="76"/>
      <c r="M55" s="76"/>
      <c r="N55" s="73"/>
      <c r="P55" s="157" t="s">
        <v>29</v>
      </c>
      <c r="Q55" s="105">
        <v>0</v>
      </c>
      <c r="R55" s="105">
        <v>8</v>
      </c>
      <c r="S55" s="72">
        <v>0</v>
      </c>
      <c r="T55" s="73">
        <f>SUM(Q55:S55)</f>
        <v>8</v>
      </c>
    </row>
    <row r="56" spans="1:20" s="105" customFormat="1" ht="15.75" thickBot="1" x14ac:dyDescent="0.3">
      <c r="A56" s="67">
        <v>47</v>
      </c>
      <c r="B56" s="77">
        <f>'Plot By Plot SoA'!C181</f>
        <v>151</v>
      </c>
      <c r="C56" s="71">
        <f>'Plot By Plot SoA'!D181</f>
        <v>52.1</v>
      </c>
      <c r="D56" s="104">
        <f>'Plot By Plot SoA'!E181</f>
        <v>560.79918999999995</v>
      </c>
      <c r="E56" s="69"/>
      <c r="F56" s="71"/>
      <c r="G56" s="71">
        <f>'Plot By Plot SoA'!I181</f>
        <v>0</v>
      </c>
      <c r="H56" s="72"/>
      <c r="I56" s="73"/>
      <c r="J56" s="78"/>
      <c r="K56" s="71">
        <f>'Plot By Plot SoA'!M181</f>
        <v>0</v>
      </c>
      <c r="L56" s="76"/>
      <c r="M56" s="76"/>
      <c r="N56" s="73"/>
      <c r="P56" s="167" t="s">
        <v>30</v>
      </c>
      <c r="Q56" s="163">
        <v>0</v>
      </c>
      <c r="R56" s="163">
        <v>0</v>
      </c>
      <c r="S56" s="164">
        <v>0</v>
      </c>
      <c r="T56" s="73">
        <f>SUM(Q56:S56)</f>
        <v>0</v>
      </c>
    </row>
    <row r="57" spans="1:20" s="105" customFormat="1" ht="15.75" thickBot="1" x14ac:dyDescent="0.3">
      <c r="A57" s="67">
        <v>48</v>
      </c>
      <c r="B57" s="77">
        <f>'Plot By Plot SoA'!C182</f>
        <v>152</v>
      </c>
      <c r="C57" s="71">
        <f>'Plot By Plot SoA'!D182</f>
        <v>38.200000000000003</v>
      </c>
      <c r="D57" s="104">
        <f>'Plot By Plot SoA'!E182</f>
        <v>411.18098000000003</v>
      </c>
      <c r="E57" s="69"/>
      <c r="F57" s="71"/>
      <c r="G57" s="71">
        <f>'Plot By Plot SoA'!I182</f>
        <v>0</v>
      </c>
      <c r="H57" s="72"/>
      <c r="I57" s="73"/>
      <c r="J57" s="78"/>
      <c r="K57" s="71">
        <f>'Plot By Plot SoA'!M182</f>
        <v>0</v>
      </c>
      <c r="L57" s="76"/>
      <c r="M57" s="76"/>
      <c r="N57" s="73"/>
      <c r="P57" s="158" t="s">
        <v>52</v>
      </c>
      <c r="Q57" s="156">
        <f>SUM(Q54:Q56)</f>
        <v>0</v>
      </c>
      <c r="R57" s="156">
        <f>SUM(R54:R56)</f>
        <v>8</v>
      </c>
      <c r="S57" s="156">
        <f>SUM(S54:S56)</f>
        <v>0</v>
      </c>
      <c r="T57" s="155">
        <f>SUM(Q57:S57)</f>
        <v>8</v>
      </c>
    </row>
    <row r="58" spans="1:20" s="105" customFormat="1" x14ac:dyDescent="0.25">
      <c r="A58" s="67">
        <v>49</v>
      </c>
      <c r="B58" s="77">
        <f>'Plot By Plot SoA'!C183</f>
        <v>153</v>
      </c>
      <c r="C58" s="71">
        <f>'Plot By Plot SoA'!D183</f>
        <v>49.8</v>
      </c>
      <c r="D58" s="104">
        <f>'Plot By Plot SoA'!E183</f>
        <v>536.04221999999993</v>
      </c>
      <c r="E58" s="69"/>
      <c r="F58" s="71"/>
      <c r="G58" s="71">
        <f>'Plot By Plot SoA'!I183</f>
        <v>0</v>
      </c>
      <c r="H58" s="72"/>
      <c r="I58" s="73"/>
      <c r="J58" s="78"/>
      <c r="K58" s="71">
        <f>'Plot By Plot SoA'!M183</f>
        <v>0</v>
      </c>
      <c r="L58" s="76"/>
      <c r="M58" s="76"/>
      <c r="N58" s="73"/>
    </row>
    <row r="59" spans="1:20" s="105" customFormat="1" x14ac:dyDescent="0.25">
      <c r="A59" s="67">
        <v>50</v>
      </c>
      <c r="B59" s="77">
        <f>'Plot By Plot SoA'!C184</f>
        <v>154</v>
      </c>
      <c r="C59" s="71">
        <f>'Plot By Plot SoA'!D184</f>
        <v>37.200000000000003</v>
      </c>
      <c r="D59" s="104">
        <f>'Plot By Plot SoA'!E184</f>
        <v>400.41708</v>
      </c>
      <c r="E59" s="69"/>
      <c r="F59" s="71"/>
      <c r="G59" s="71">
        <f>'Plot By Plot SoA'!I184</f>
        <v>0</v>
      </c>
      <c r="H59" s="72"/>
      <c r="I59" s="73"/>
      <c r="J59" s="78"/>
      <c r="K59" s="71">
        <f>'Plot By Plot SoA'!M184</f>
        <v>0</v>
      </c>
      <c r="L59" s="76"/>
      <c r="M59" s="76"/>
      <c r="N59" s="73"/>
    </row>
    <row r="60" spans="1:20" s="105" customFormat="1" ht="15.75" thickBot="1" x14ac:dyDescent="0.3">
      <c r="A60" s="80">
        <v>51</v>
      </c>
      <c r="B60" s="81">
        <f>'Plot By Plot SoA'!C185</f>
        <v>155</v>
      </c>
      <c r="C60" s="84">
        <f>'Plot By Plot SoA'!D185</f>
        <v>49.8</v>
      </c>
      <c r="D60" s="106">
        <f>'Plot By Plot SoA'!E185</f>
        <v>536.04221999999993</v>
      </c>
      <c r="E60" s="82"/>
      <c r="F60" s="84"/>
      <c r="G60" s="84">
        <f>'Plot By Plot SoA'!I185</f>
        <v>0</v>
      </c>
      <c r="H60" s="85"/>
      <c r="I60" s="73"/>
      <c r="J60" s="87"/>
      <c r="K60" s="84">
        <f>'Plot By Plot SoA'!M185</f>
        <v>0</v>
      </c>
      <c r="L60" s="88"/>
      <c r="M60" s="88"/>
      <c r="N60" s="73"/>
    </row>
    <row r="61" spans="1:20" s="105" customFormat="1" ht="39" customHeight="1" thickBot="1" x14ac:dyDescent="0.3">
      <c r="A61" s="139" t="s">
        <v>47</v>
      </c>
      <c r="B61" s="140">
        <f>COUNTA(B53:B60)</f>
        <v>8</v>
      </c>
      <c r="C61" s="145">
        <f>SUM(C53:C60)</f>
        <v>387.40000000000003</v>
      </c>
      <c r="D61" s="110">
        <f>SUM(C61*10.7639)</f>
        <v>4169.9348600000003</v>
      </c>
      <c r="E61" s="107">
        <f>COUNTA(E53:E60)</f>
        <v>0</v>
      </c>
      <c r="F61" s="107">
        <f t="shared" ref="F61:M61" si="2">COUNTA(F53:F60)</f>
        <v>0</v>
      </c>
      <c r="G61" s="107">
        <f t="shared" si="2"/>
        <v>8</v>
      </c>
      <c r="H61" s="140">
        <f t="shared" si="2"/>
        <v>0</v>
      </c>
      <c r="I61" s="154">
        <f t="shared" si="2"/>
        <v>0</v>
      </c>
      <c r="J61" s="107">
        <f t="shared" si="2"/>
        <v>0</v>
      </c>
      <c r="K61" s="107">
        <f t="shared" si="2"/>
        <v>8</v>
      </c>
      <c r="L61" s="107">
        <f t="shared" si="2"/>
        <v>0</v>
      </c>
      <c r="M61" s="107">
        <f t="shared" si="2"/>
        <v>0</v>
      </c>
      <c r="N61" s="108">
        <f>COUNTA(N53:N60)</f>
        <v>0</v>
      </c>
    </row>
    <row r="62" spans="1:20" s="105" customFormat="1" ht="15.75" thickTop="1" x14ac:dyDescent="0.25">
      <c r="A62" s="55" t="s">
        <v>26</v>
      </c>
      <c r="B62" s="23"/>
      <c r="C62" s="148"/>
      <c r="D62" s="149"/>
      <c r="E62" s="150"/>
      <c r="F62" s="151"/>
      <c r="G62" s="151"/>
      <c r="H62" s="173"/>
      <c r="I62" s="152"/>
      <c r="J62" s="3">
        <v>1</v>
      </c>
      <c r="K62" s="4">
        <v>2</v>
      </c>
      <c r="L62" s="4">
        <v>3</v>
      </c>
      <c r="M62" s="153">
        <v>4</v>
      </c>
      <c r="N62" s="5">
        <v>5</v>
      </c>
      <c r="P62" s="1280" t="s">
        <v>53</v>
      </c>
      <c r="Q62" s="1281"/>
      <c r="R62" s="1281"/>
      <c r="S62" s="1281"/>
      <c r="T62" s="1282"/>
    </row>
    <row r="63" spans="1:20" s="105" customFormat="1" x14ac:dyDescent="0.25">
      <c r="A63" s="89">
        <v>52</v>
      </c>
      <c r="B63" s="77">
        <f>'Plot By Plot SoA'!C288</f>
        <v>257</v>
      </c>
      <c r="C63" s="71">
        <f>'Plot By Plot SoA'!D288</f>
        <v>43.4</v>
      </c>
      <c r="D63" s="104">
        <f>'Plot By Plot SoA'!E288</f>
        <v>467.15325999999999</v>
      </c>
      <c r="E63" s="69"/>
      <c r="F63" s="76">
        <f>'Plot By Plot SoA'!H288</f>
        <v>0</v>
      </c>
      <c r="G63" s="76"/>
      <c r="H63" s="72"/>
      <c r="I63" s="73"/>
      <c r="J63" s="78"/>
      <c r="K63" s="76"/>
      <c r="L63" s="71">
        <f>'Plot By Plot SoA'!N288</f>
        <v>0</v>
      </c>
      <c r="M63" s="71"/>
      <c r="N63" s="73"/>
      <c r="P63" s="166"/>
      <c r="Q63" s="161" t="s">
        <v>54</v>
      </c>
      <c r="R63" s="161" t="s">
        <v>55</v>
      </c>
      <c r="S63" s="162" t="s">
        <v>56</v>
      </c>
      <c r="T63" s="165" t="s">
        <v>52</v>
      </c>
    </row>
    <row r="64" spans="1:20" s="105" customFormat="1" x14ac:dyDescent="0.25">
      <c r="A64" s="67">
        <v>53</v>
      </c>
      <c r="B64" s="77">
        <f>'Plot By Plot SoA'!C290</f>
        <v>259</v>
      </c>
      <c r="C64" s="71">
        <f>'Plot By Plot SoA'!D290</f>
        <v>43.4</v>
      </c>
      <c r="D64" s="104">
        <f>'Plot By Plot SoA'!E290</f>
        <v>467.15325999999999</v>
      </c>
      <c r="E64" s="69"/>
      <c r="F64" s="76"/>
      <c r="G64" s="76">
        <f>'Plot By Plot SoA'!I290</f>
        <v>0</v>
      </c>
      <c r="H64" s="72"/>
      <c r="I64" s="73"/>
      <c r="J64" s="78"/>
      <c r="K64" s="76">
        <f>'Plot By Plot SoA'!M290</f>
        <v>0</v>
      </c>
      <c r="L64" s="71"/>
      <c r="M64" s="71"/>
      <c r="N64" s="73"/>
      <c r="P64" s="157" t="s">
        <v>28</v>
      </c>
      <c r="Q64" s="105">
        <v>0</v>
      </c>
      <c r="R64" s="105">
        <v>0</v>
      </c>
      <c r="S64" s="72">
        <v>10</v>
      </c>
      <c r="T64" s="73">
        <f>SUM(Q64:S64)</f>
        <v>10</v>
      </c>
    </row>
    <row r="65" spans="1:20" s="105" customFormat="1" x14ac:dyDescent="0.25">
      <c r="A65" s="67">
        <v>54</v>
      </c>
      <c r="B65" s="77">
        <f>'Plot By Plot SoA'!C292</f>
        <v>261</v>
      </c>
      <c r="C65" s="71">
        <f>'Plot By Plot SoA'!D292</f>
        <v>43.4</v>
      </c>
      <c r="D65" s="104">
        <f>'Plot By Plot SoA'!E292</f>
        <v>467.15325999999999</v>
      </c>
      <c r="E65" s="69"/>
      <c r="F65" s="76"/>
      <c r="G65" s="76">
        <f>'Plot By Plot SoA'!I292</f>
        <v>0</v>
      </c>
      <c r="H65" s="72"/>
      <c r="I65" s="73"/>
      <c r="J65" s="78"/>
      <c r="K65" s="76">
        <f>'Plot By Plot SoA'!M292</f>
        <v>0</v>
      </c>
      <c r="L65" s="71"/>
      <c r="M65" s="71"/>
      <c r="N65" s="73"/>
      <c r="P65" s="157" t="s">
        <v>29</v>
      </c>
      <c r="Q65" s="105">
        <v>0</v>
      </c>
      <c r="R65" s="105">
        <v>11</v>
      </c>
      <c r="S65" s="72">
        <v>0</v>
      </c>
      <c r="T65" s="73">
        <f>SUM(Q65:S65)</f>
        <v>11</v>
      </c>
    </row>
    <row r="66" spans="1:20" s="105" customFormat="1" ht="15.75" thickBot="1" x14ac:dyDescent="0.3">
      <c r="A66" s="67">
        <v>55</v>
      </c>
      <c r="B66" s="77">
        <f>'Plot By Plot SoA'!C294</f>
        <v>263</v>
      </c>
      <c r="C66" s="71">
        <f>'Plot By Plot SoA'!D294</f>
        <v>43.4</v>
      </c>
      <c r="D66" s="104">
        <f>'Plot By Plot SoA'!E294</f>
        <v>467.15325999999999</v>
      </c>
      <c r="E66" s="69"/>
      <c r="F66" s="76"/>
      <c r="G66" s="76">
        <f>'Plot By Plot SoA'!I294</f>
        <v>0</v>
      </c>
      <c r="H66" s="72"/>
      <c r="I66" s="73"/>
      <c r="J66" s="78"/>
      <c r="K66" s="76">
        <f>'Plot By Plot SoA'!M294</f>
        <v>0</v>
      </c>
      <c r="L66" s="71"/>
      <c r="M66" s="71"/>
      <c r="N66" s="73"/>
      <c r="P66" s="167" t="s">
        <v>30</v>
      </c>
      <c r="Q66" s="163">
        <v>1</v>
      </c>
      <c r="R66" s="163">
        <v>0</v>
      </c>
      <c r="S66" s="164">
        <v>1</v>
      </c>
      <c r="T66" s="73">
        <f>SUM(Q66:S66)</f>
        <v>2</v>
      </c>
    </row>
    <row r="67" spans="1:20" s="105" customFormat="1" ht="15.75" thickBot="1" x14ac:dyDescent="0.3">
      <c r="A67" s="67">
        <v>56</v>
      </c>
      <c r="B67" s="77">
        <f>'Plot By Plot SoA'!C296</f>
        <v>265</v>
      </c>
      <c r="C67" s="71">
        <f>'Plot By Plot SoA'!D296</f>
        <v>43.4</v>
      </c>
      <c r="D67" s="104">
        <f>'Plot By Plot SoA'!E296</f>
        <v>467.15325999999999</v>
      </c>
      <c r="E67" s="69"/>
      <c r="F67" s="76"/>
      <c r="G67" s="76"/>
      <c r="H67" s="72" t="str">
        <f>'Plot By Plot SoA'!J296</f>
        <v>Y</v>
      </c>
      <c r="I67" s="73"/>
      <c r="J67" s="78" t="str">
        <f>'Plot By Plot SoA'!L296</f>
        <v>Y</v>
      </c>
      <c r="K67" s="76"/>
      <c r="L67" s="71"/>
      <c r="M67" s="71"/>
      <c r="N67" s="73"/>
      <c r="P67" s="158" t="s">
        <v>52</v>
      </c>
      <c r="Q67" s="156">
        <f>SUM(Q64:Q66)</f>
        <v>1</v>
      </c>
      <c r="R67" s="156">
        <f>SUM(R64:R66)</f>
        <v>11</v>
      </c>
      <c r="S67" s="156">
        <f>SUM(S64:S66)</f>
        <v>11</v>
      </c>
      <c r="T67" s="155">
        <f>SUM(Q67:S67)</f>
        <v>23</v>
      </c>
    </row>
    <row r="68" spans="1:20" s="105" customFormat="1" x14ac:dyDescent="0.25">
      <c r="A68" s="67">
        <v>57</v>
      </c>
      <c r="B68" s="77">
        <f>'Plot By Plot SoA'!C297</f>
        <v>266</v>
      </c>
      <c r="C68" s="71">
        <f>'Plot By Plot SoA'!D297</f>
        <v>43.4</v>
      </c>
      <c r="D68" s="104">
        <f>'Plot By Plot SoA'!E297</f>
        <v>467.15325999999999</v>
      </c>
      <c r="E68" s="69"/>
      <c r="F68" s="76"/>
      <c r="G68" s="76"/>
      <c r="H68" s="72" t="str">
        <f>'Plot By Plot SoA'!J297</f>
        <v>Y</v>
      </c>
      <c r="I68" s="73"/>
      <c r="J68" s="78" t="str">
        <f>'Plot By Plot SoA'!L297</f>
        <v>Y</v>
      </c>
      <c r="K68" s="76"/>
      <c r="L68" s="71"/>
      <c r="M68" s="71"/>
      <c r="N68" s="73"/>
    </row>
    <row r="69" spans="1:20" s="105" customFormat="1" x14ac:dyDescent="0.25">
      <c r="A69" s="67">
        <v>58</v>
      </c>
      <c r="B69" s="77">
        <f>'Plot By Plot SoA'!C298</f>
        <v>267</v>
      </c>
      <c r="C69" s="71">
        <f>'Plot By Plot SoA'!D298</f>
        <v>43.4</v>
      </c>
      <c r="D69" s="104">
        <f>'Plot By Plot SoA'!E298</f>
        <v>467.15325999999999</v>
      </c>
      <c r="E69" s="69"/>
      <c r="F69" s="76"/>
      <c r="G69" s="76"/>
      <c r="H69" s="72" t="str">
        <f>'Plot By Plot SoA'!J298</f>
        <v>Y</v>
      </c>
      <c r="I69" s="73"/>
      <c r="J69" s="78" t="str">
        <f>'Plot By Plot SoA'!L298</f>
        <v>Y</v>
      </c>
      <c r="K69" s="76"/>
      <c r="L69" s="71"/>
      <c r="M69" s="71"/>
      <c r="N69" s="73"/>
    </row>
    <row r="70" spans="1:20" s="105" customFormat="1" x14ac:dyDescent="0.25">
      <c r="A70" s="67">
        <v>59</v>
      </c>
      <c r="B70" s="77">
        <f>'Plot By Plot SoA'!C299</f>
        <v>268</v>
      </c>
      <c r="C70" s="71">
        <f>'Plot By Plot SoA'!D299</f>
        <v>43.4</v>
      </c>
      <c r="D70" s="104">
        <f>'Plot By Plot SoA'!E299</f>
        <v>467.15325999999999</v>
      </c>
      <c r="E70" s="69"/>
      <c r="F70" s="76"/>
      <c r="G70" s="76"/>
      <c r="H70" s="72" t="str">
        <f>'Plot By Plot SoA'!J299</f>
        <v>Y</v>
      </c>
      <c r="I70" s="73"/>
      <c r="J70" s="78" t="str">
        <f>'Plot By Plot SoA'!L299</f>
        <v>Y</v>
      </c>
      <c r="K70" s="76"/>
      <c r="L70" s="71"/>
      <c r="M70" s="71"/>
      <c r="N70" s="73"/>
    </row>
    <row r="71" spans="1:20" s="105" customFormat="1" x14ac:dyDescent="0.25">
      <c r="A71" s="67">
        <v>60</v>
      </c>
      <c r="B71" s="77">
        <f>'Plot By Plot SoA'!C300</f>
        <v>269</v>
      </c>
      <c r="C71" s="71">
        <f>'Plot By Plot SoA'!D300</f>
        <v>43.4</v>
      </c>
      <c r="D71" s="104">
        <f>'Plot By Plot SoA'!E300</f>
        <v>467.15325999999999</v>
      </c>
      <c r="E71" s="69"/>
      <c r="F71" s="76"/>
      <c r="G71" s="76"/>
      <c r="H71" s="72" t="str">
        <f>'Plot By Plot SoA'!J300</f>
        <v>Y</v>
      </c>
      <c r="I71" s="73"/>
      <c r="J71" s="78" t="str">
        <f>'Plot By Plot SoA'!L300</f>
        <v>Y</v>
      </c>
      <c r="K71" s="76"/>
      <c r="L71" s="71"/>
      <c r="M71" s="71"/>
      <c r="N71" s="73"/>
    </row>
    <row r="72" spans="1:20" s="105" customFormat="1" x14ac:dyDescent="0.25">
      <c r="A72" s="67">
        <v>61</v>
      </c>
      <c r="B72" s="77">
        <f>'Plot By Plot SoA'!C301</f>
        <v>270</v>
      </c>
      <c r="C72" s="71">
        <f>'Plot By Plot SoA'!D301</f>
        <v>51.2</v>
      </c>
      <c r="D72" s="104">
        <f>'Plot By Plot SoA'!E301</f>
        <v>551.11167999999998</v>
      </c>
      <c r="E72" s="69"/>
      <c r="F72" s="76"/>
      <c r="G72" s="76"/>
      <c r="H72" s="72" t="str">
        <f>'Plot By Plot SoA'!J301</f>
        <v>Y</v>
      </c>
      <c r="I72" s="73"/>
      <c r="J72" s="78" t="str">
        <f>'Plot By Plot SoA'!L301</f>
        <v>Y</v>
      </c>
      <c r="K72" s="76"/>
      <c r="L72" s="71"/>
      <c r="M72" s="71"/>
      <c r="N72" s="73"/>
    </row>
    <row r="73" spans="1:20" s="105" customFormat="1" x14ac:dyDescent="0.25">
      <c r="A73" s="67">
        <v>62</v>
      </c>
      <c r="B73" s="77">
        <f>'Plot By Plot SoA'!C302</f>
        <v>271</v>
      </c>
      <c r="C73" s="71">
        <f>'Plot By Plot SoA'!D302</f>
        <v>43.4</v>
      </c>
      <c r="D73" s="104">
        <f>'Plot By Plot SoA'!E302</f>
        <v>467.15325999999999</v>
      </c>
      <c r="E73" s="69"/>
      <c r="F73" s="76"/>
      <c r="G73" s="76"/>
      <c r="H73" s="72" t="str">
        <f>'Plot By Plot SoA'!J302</f>
        <v>Y</v>
      </c>
      <c r="I73" s="73"/>
      <c r="J73" s="78" t="str">
        <f>'Plot By Plot SoA'!L302</f>
        <v>Y</v>
      </c>
      <c r="K73" s="76"/>
      <c r="L73" s="71"/>
      <c r="M73" s="71"/>
      <c r="N73" s="73"/>
    </row>
    <row r="74" spans="1:20" s="105" customFormat="1" x14ac:dyDescent="0.25">
      <c r="A74" s="67">
        <v>63</v>
      </c>
      <c r="B74" s="77">
        <f>'Plot By Plot SoA'!C303</f>
        <v>272</v>
      </c>
      <c r="C74" s="71">
        <f>'Plot By Plot SoA'!D303</f>
        <v>43.4</v>
      </c>
      <c r="D74" s="104">
        <f>'Plot By Plot SoA'!E303</f>
        <v>467.15325999999999</v>
      </c>
      <c r="E74" s="69"/>
      <c r="F74" s="76"/>
      <c r="G74" s="76"/>
      <c r="H74" s="72" t="str">
        <f>'Plot By Plot SoA'!J303</f>
        <v>Y</v>
      </c>
      <c r="I74" s="73"/>
      <c r="J74" s="78" t="str">
        <f>'Plot By Plot SoA'!L303</f>
        <v>Y</v>
      </c>
      <c r="K74" s="76"/>
      <c r="L74" s="71"/>
      <c r="M74" s="71"/>
      <c r="N74" s="73"/>
    </row>
    <row r="75" spans="1:20" s="105" customFormat="1" x14ac:dyDescent="0.25">
      <c r="A75" s="67">
        <v>64</v>
      </c>
      <c r="B75" s="77">
        <f>'Plot By Plot SoA'!C305</f>
        <v>274</v>
      </c>
      <c r="C75" s="71">
        <f>'Plot By Plot SoA'!D305</f>
        <v>39.200000000000003</v>
      </c>
      <c r="D75" s="104">
        <f>'Plot By Plot SoA'!E305</f>
        <v>421.94488000000001</v>
      </c>
      <c r="E75" s="69"/>
      <c r="F75" s="76"/>
      <c r="G75" s="76"/>
      <c r="H75" s="72">
        <f>'Plot By Plot SoA'!J305</f>
        <v>0</v>
      </c>
      <c r="I75" s="73"/>
      <c r="J75" s="78" t="str">
        <f>'Plot By Plot SoA'!L305</f>
        <v>Y</v>
      </c>
      <c r="K75" s="76"/>
      <c r="L75" s="71"/>
      <c r="M75" s="71"/>
      <c r="N75" s="73"/>
    </row>
    <row r="76" spans="1:20" s="105" customFormat="1" x14ac:dyDescent="0.25">
      <c r="A76" s="67">
        <v>65</v>
      </c>
      <c r="B76" s="77">
        <f>'Plot By Plot SoA'!C306</f>
        <v>275</v>
      </c>
      <c r="C76" s="71">
        <f>'Plot By Plot SoA'!D306</f>
        <v>57.8</v>
      </c>
      <c r="D76" s="104">
        <f>'Plot By Plot SoA'!E306</f>
        <v>622.15341999999998</v>
      </c>
      <c r="E76" s="69"/>
      <c r="F76" s="76"/>
      <c r="G76" s="76" t="str">
        <f>'Plot By Plot SoA'!I306</f>
        <v>Y</v>
      </c>
      <c r="H76" s="72"/>
      <c r="I76" s="73"/>
      <c r="J76" s="78"/>
      <c r="K76" s="76">
        <f>'Plot By Plot SoA'!M306</f>
        <v>0</v>
      </c>
      <c r="L76" s="71"/>
      <c r="M76" s="71"/>
      <c r="N76" s="73"/>
    </row>
    <row r="77" spans="1:20" s="105" customFormat="1" x14ac:dyDescent="0.25">
      <c r="A77" s="67">
        <v>66</v>
      </c>
      <c r="B77" s="77">
        <f>'Plot By Plot SoA'!C307</f>
        <v>276</v>
      </c>
      <c r="C77" s="71">
        <f>'Plot By Plot SoA'!D307</f>
        <v>57.8</v>
      </c>
      <c r="D77" s="104">
        <f>'Plot By Plot SoA'!E307</f>
        <v>622.15341999999998</v>
      </c>
      <c r="E77" s="69"/>
      <c r="F77" s="76"/>
      <c r="G77" s="76" t="str">
        <f>'Plot By Plot SoA'!I307</f>
        <v>Y</v>
      </c>
      <c r="H77" s="72"/>
      <c r="I77" s="73"/>
      <c r="J77" s="78"/>
      <c r="K77" s="76">
        <f>'Plot By Plot SoA'!M307</f>
        <v>0</v>
      </c>
      <c r="L77" s="71"/>
      <c r="M77" s="71"/>
      <c r="N77" s="73"/>
    </row>
    <row r="78" spans="1:20" s="105" customFormat="1" x14ac:dyDescent="0.25">
      <c r="A78" s="67">
        <v>67</v>
      </c>
      <c r="B78" s="77">
        <f>'Plot By Plot SoA'!C308</f>
        <v>277</v>
      </c>
      <c r="C78" s="71">
        <f>'Plot By Plot SoA'!D308</f>
        <v>50.1</v>
      </c>
      <c r="D78" s="104">
        <f>'Plot By Plot SoA'!E308</f>
        <v>539.27139</v>
      </c>
      <c r="E78" s="69"/>
      <c r="F78" s="76"/>
      <c r="G78" s="76">
        <f>'Plot By Plot SoA'!I308</f>
        <v>0</v>
      </c>
      <c r="H78" s="72"/>
      <c r="I78" s="73"/>
      <c r="J78" s="78"/>
      <c r="K78" s="76">
        <f>'Plot By Plot SoA'!M308</f>
        <v>0</v>
      </c>
      <c r="L78" s="71"/>
      <c r="M78" s="71"/>
      <c r="N78" s="73"/>
    </row>
    <row r="79" spans="1:20" s="105" customFormat="1" x14ac:dyDescent="0.25">
      <c r="A79" s="67">
        <v>68</v>
      </c>
      <c r="B79" s="77">
        <f>'Plot By Plot SoA'!C309</f>
        <v>278</v>
      </c>
      <c r="C79" s="71">
        <f>'Plot By Plot SoA'!D309</f>
        <v>100.1</v>
      </c>
      <c r="D79" s="104">
        <f>'Plot By Plot SoA'!E309</f>
        <v>1077.4663899999998</v>
      </c>
      <c r="E79" s="69"/>
      <c r="F79" s="76"/>
      <c r="G79" s="76" t="str">
        <f>'Plot By Plot SoA'!I309</f>
        <v>Y</v>
      </c>
      <c r="H79" s="72"/>
      <c r="I79" s="73"/>
      <c r="J79" s="78"/>
      <c r="K79" s="76" t="str">
        <f>'Plot By Plot SoA'!M309</f>
        <v>Y</v>
      </c>
      <c r="L79" s="71"/>
      <c r="M79" s="71"/>
      <c r="N79" s="73"/>
    </row>
    <row r="80" spans="1:20" s="105" customFormat="1" x14ac:dyDescent="0.25">
      <c r="A80" s="67">
        <v>69</v>
      </c>
      <c r="B80" s="77">
        <f>'Plot By Plot SoA'!C310</f>
        <v>279</v>
      </c>
      <c r="C80" s="71">
        <f>'Plot By Plot SoA'!D310</f>
        <v>57.8</v>
      </c>
      <c r="D80" s="104">
        <f>'Plot By Plot SoA'!E310</f>
        <v>622.15341999999998</v>
      </c>
      <c r="E80" s="69"/>
      <c r="F80" s="76"/>
      <c r="G80" s="76" t="str">
        <f>'Plot By Plot SoA'!I310</f>
        <v>Y</v>
      </c>
      <c r="H80" s="72"/>
      <c r="I80" s="73"/>
      <c r="J80" s="78"/>
      <c r="K80" s="76">
        <f>'Plot By Plot SoA'!M310</f>
        <v>0</v>
      </c>
      <c r="L80" s="71"/>
      <c r="M80" s="71"/>
      <c r="N80" s="73"/>
    </row>
    <row r="81" spans="1:20" s="105" customFormat="1" x14ac:dyDescent="0.25">
      <c r="A81" s="67">
        <v>70</v>
      </c>
      <c r="B81" s="77">
        <f>'Plot By Plot SoA'!C311</f>
        <v>280</v>
      </c>
      <c r="C81" s="71">
        <f>'Plot By Plot SoA'!D311</f>
        <v>57.8</v>
      </c>
      <c r="D81" s="104">
        <f>'Plot By Plot SoA'!E311</f>
        <v>622.15341999999998</v>
      </c>
      <c r="E81" s="69"/>
      <c r="F81" s="76"/>
      <c r="G81" s="76" t="str">
        <f>'Plot By Plot SoA'!I311</f>
        <v>Y</v>
      </c>
      <c r="H81" s="72"/>
      <c r="I81" s="73"/>
      <c r="J81" s="78"/>
      <c r="K81" s="76">
        <f>'Plot By Plot SoA'!M311</f>
        <v>0</v>
      </c>
      <c r="L81" s="71"/>
      <c r="M81" s="71"/>
      <c r="N81" s="73"/>
    </row>
    <row r="82" spans="1:20" s="105" customFormat="1" x14ac:dyDescent="0.25">
      <c r="A82" s="67">
        <v>71</v>
      </c>
      <c r="B82" s="77">
        <f>'Plot By Plot SoA'!C313</f>
        <v>282</v>
      </c>
      <c r="C82" s="71">
        <f>'Plot By Plot SoA'!D313</f>
        <v>69.599999999999994</v>
      </c>
      <c r="D82" s="104">
        <f>'Plot By Plot SoA'!E313</f>
        <v>749.16743999999994</v>
      </c>
      <c r="E82" s="69"/>
      <c r="F82" s="76"/>
      <c r="G82" s="76" t="str">
        <f>'Plot By Plot SoA'!I313</f>
        <v>Y</v>
      </c>
      <c r="H82" s="72"/>
      <c r="I82" s="73"/>
      <c r="J82" s="78"/>
      <c r="K82" s="76" t="str">
        <f>'Plot By Plot SoA'!M313</f>
        <v>Y</v>
      </c>
      <c r="L82" s="71"/>
      <c r="M82" s="71"/>
      <c r="N82" s="73"/>
    </row>
    <row r="83" spans="1:20" s="105" customFormat="1" x14ac:dyDescent="0.25">
      <c r="A83" s="67">
        <v>72</v>
      </c>
      <c r="B83" s="77">
        <f>'Plot By Plot SoA'!C316</f>
        <v>285</v>
      </c>
      <c r="C83" s="71">
        <f>'Plot By Plot SoA'!D316</f>
        <v>87.3</v>
      </c>
      <c r="D83" s="104">
        <f>'Plot By Plot SoA'!E316</f>
        <v>939.68846999999994</v>
      </c>
      <c r="E83" s="69"/>
      <c r="F83" s="76"/>
      <c r="G83" s="76" t="str">
        <f>'Plot By Plot SoA'!I316</f>
        <v>Y</v>
      </c>
      <c r="H83" s="72"/>
      <c r="I83" s="73"/>
      <c r="J83" s="78"/>
      <c r="K83" s="76">
        <f>'Plot By Plot SoA'!M316</f>
        <v>0</v>
      </c>
      <c r="L83" s="71"/>
      <c r="M83" s="71"/>
      <c r="N83" s="73"/>
    </row>
    <row r="84" spans="1:20" s="105" customFormat="1" x14ac:dyDescent="0.25">
      <c r="A84" s="67">
        <v>73</v>
      </c>
      <c r="B84" s="77">
        <f>'Plot By Plot SoA'!C319</f>
        <v>288</v>
      </c>
      <c r="C84" s="71">
        <f>'Plot By Plot SoA'!D319</f>
        <v>69.599999999999994</v>
      </c>
      <c r="D84" s="104">
        <f>'Plot By Plot SoA'!E319</f>
        <v>749.16743999999994</v>
      </c>
      <c r="E84" s="69"/>
      <c r="F84" s="76"/>
      <c r="G84" s="76"/>
      <c r="H84" s="72">
        <f>'Plot By Plot SoA'!J319</f>
        <v>0</v>
      </c>
      <c r="I84" s="73"/>
      <c r="J84" s="78">
        <f>'Plot By Plot SoA'!L319</f>
        <v>0</v>
      </c>
      <c r="K84" s="76"/>
      <c r="L84" s="71"/>
      <c r="M84" s="71"/>
      <c r="N84" s="73"/>
    </row>
    <row r="85" spans="1:20" s="105" customFormat="1" ht="15.75" thickBot="1" x14ac:dyDescent="0.3">
      <c r="A85" s="67">
        <v>74</v>
      </c>
      <c r="B85" s="81">
        <f>'Plot By Plot SoA'!C320</f>
        <v>289</v>
      </c>
      <c r="C85" s="84">
        <f>'Plot By Plot SoA'!D320</f>
        <v>59.4</v>
      </c>
      <c r="D85" s="104">
        <f>C85*10.7639</f>
        <v>639.37565999999993</v>
      </c>
      <c r="E85" s="82"/>
      <c r="F85" s="88"/>
      <c r="G85" s="88"/>
      <c r="H85" s="72" t="str">
        <f>'Plot By Plot SoA'!J320</f>
        <v>Y</v>
      </c>
      <c r="I85" s="73"/>
      <c r="J85" s="87"/>
      <c r="K85" s="88"/>
      <c r="L85" s="84" t="s">
        <v>8</v>
      </c>
      <c r="M85" s="84"/>
      <c r="N85" s="73"/>
    </row>
    <row r="86" spans="1:20" s="105" customFormat="1" ht="39" customHeight="1" thickBot="1" x14ac:dyDescent="0.3">
      <c r="A86" s="139" t="s">
        <v>47</v>
      </c>
      <c r="B86" s="140">
        <f>COUNTA(B63:B85)</f>
        <v>23</v>
      </c>
      <c r="C86" s="145">
        <f>SUM(C63:C85)</f>
        <v>1235.0999999999999</v>
      </c>
      <c r="D86" s="110">
        <f>SUM(C86*10.7639)</f>
        <v>13294.492889999998</v>
      </c>
      <c r="E86" s="145">
        <f t="shared" ref="E86:N86" si="3">COUNTA(E63:E85)</f>
        <v>0</v>
      </c>
      <c r="F86" s="107">
        <f t="shared" si="3"/>
        <v>1</v>
      </c>
      <c r="G86" s="124">
        <f t="shared" si="3"/>
        <v>11</v>
      </c>
      <c r="H86" s="140">
        <f t="shared" si="3"/>
        <v>11</v>
      </c>
      <c r="I86" s="108">
        <f t="shared" si="3"/>
        <v>0</v>
      </c>
      <c r="J86" s="107">
        <f t="shared" si="3"/>
        <v>10</v>
      </c>
      <c r="K86" s="124">
        <f t="shared" si="3"/>
        <v>11</v>
      </c>
      <c r="L86" s="124">
        <f t="shared" si="3"/>
        <v>2</v>
      </c>
      <c r="M86" s="107">
        <f t="shared" si="3"/>
        <v>0</v>
      </c>
      <c r="N86" s="126">
        <f t="shared" si="3"/>
        <v>0</v>
      </c>
    </row>
    <row r="87" spans="1:20" s="105" customFormat="1" ht="45.75" thickBot="1" x14ac:dyDescent="0.3">
      <c r="A87" s="1283"/>
      <c r="B87" s="48" t="s">
        <v>5</v>
      </c>
      <c r="C87" s="146"/>
      <c r="D87" s="147"/>
      <c r="E87" s="10">
        <f t="shared" ref="E87:N87" si="4">COUNTA(E6:E13,E16:E50,E53:E60,E63:E85)</f>
        <v>0</v>
      </c>
      <c r="F87" s="10">
        <f t="shared" si="4"/>
        <v>3</v>
      </c>
      <c r="G87" s="10">
        <f t="shared" si="4"/>
        <v>40</v>
      </c>
      <c r="H87" s="10">
        <f t="shared" si="4"/>
        <v>31</v>
      </c>
      <c r="I87" s="100">
        <f t="shared" si="4"/>
        <v>0</v>
      </c>
      <c r="J87" s="44">
        <f t="shared" si="4"/>
        <v>27</v>
      </c>
      <c r="K87" s="10">
        <f t="shared" si="4"/>
        <v>45</v>
      </c>
      <c r="L87" s="10">
        <f t="shared" si="4"/>
        <v>2</v>
      </c>
      <c r="M87" s="10">
        <f t="shared" si="4"/>
        <v>0</v>
      </c>
      <c r="N87" s="100">
        <f t="shared" si="4"/>
        <v>0</v>
      </c>
    </row>
    <row r="88" spans="1:20" s="105" customFormat="1" ht="30.75" thickBot="1" x14ac:dyDescent="0.3">
      <c r="A88" s="1284"/>
      <c r="B88" s="49" t="s">
        <v>6</v>
      </c>
      <c r="C88" s="1274" t="e">
        <f>SUM(C6:C13,C63:C85,C53:C60,C16:C50)</f>
        <v>#REF!</v>
      </c>
      <c r="D88" s="1275"/>
      <c r="E88" s="1275"/>
      <c r="F88" s="1275"/>
      <c r="G88" s="1275"/>
      <c r="H88" s="1275"/>
      <c r="I88" s="1276"/>
      <c r="J88" s="51">
        <f>SUM(1/J89*J87)</f>
        <v>0.36486486486486491</v>
      </c>
      <c r="K88" s="52">
        <f>SUM(1/J89*K87)</f>
        <v>0.60810810810810811</v>
      </c>
      <c r="L88" s="52">
        <f>SUM(1/J89*L87)</f>
        <v>2.7027027027027029E-2</v>
      </c>
      <c r="M88" s="52">
        <f>SUM(1/J89*M87)</f>
        <v>0</v>
      </c>
      <c r="N88" s="53">
        <f>SUM(1/J89*N87)</f>
        <v>0</v>
      </c>
    </row>
    <row r="89" spans="1:20" s="105" customFormat="1" ht="45.75" thickBot="1" x14ac:dyDescent="0.3">
      <c r="A89" s="1285"/>
      <c r="B89" s="50" t="s">
        <v>7</v>
      </c>
      <c r="C89" s="1105" t="e">
        <f>SUM(C88*10.7639)</f>
        <v>#REF!</v>
      </c>
      <c r="D89" s="1106"/>
      <c r="E89" s="1106"/>
      <c r="F89" s="1106"/>
      <c r="G89" s="1106"/>
      <c r="H89" s="1106"/>
      <c r="I89" s="1107"/>
      <c r="J89" s="1277">
        <f>SUM(J87:N87)</f>
        <v>74</v>
      </c>
      <c r="K89" s="1278"/>
      <c r="L89" s="1278"/>
      <c r="M89" s="1278"/>
      <c r="N89" s="1279"/>
    </row>
    <row r="90" spans="1:20" s="105" customFormat="1" ht="15.75" thickBot="1" x14ac:dyDescent="0.3">
      <c r="P90" s="1296" t="s">
        <v>50</v>
      </c>
      <c r="Q90" s="1297"/>
      <c r="R90" s="1297"/>
      <c r="S90" s="1297"/>
      <c r="T90" s="1298"/>
    </row>
    <row r="91" spans="1:20" s="105" customFormat="1" ht="38.25" customHeight="1" x14ac:dyDescent="0.25">
      <c r="P91" s="159"/>
      <c r="Q91" s="168" t="s">
        <v>51</v>
      </c>
      <c r="R91" s="168" t="s">
        <v>16</v>
      </c>
      <c r="S91" s="169" t="s">
        <v>17</v>
      </c>
      <c r="T91" s="160" t="s">
        <v>52</v>
      </c>
    </row>
    <row r="92" spans="1:20" s="105" customFormat="1" x14ac:dyDescent="0.25">
      <c r="P92" s="157" t="s">
        <v>28</v>
      </c>
      <c r="Q92" s="105">
        <f t="shared" ref="Q92:S94" si="5">SUM(Q64,Q54,Q17,Q7)</f>
        <v>0</v>
      </c>
      <c r="R92" s="105">
        <f t="shared" si="5"/>
        <v>0</v>
      </c>
      <c r="S92" s="72">
        <f t="shared" si="5"/>
        <v>27</v>
      </c>
      <c r="T92" s="73">
        <f>SUM(Q92:S92)</f>
        <v>27</v>
      </c>
    </row>
    <row r="93" spans="1:20" s="105" customFormat="1" x14ac:dyDescent="0.25">
      <c r="P93" s="157" t="s">
        <v>29</v>
      </c>
      <c r="Q93" s="105">
        <f t="shared" si="5"/>
        <v>2</v>
      </c>
      <c r="R93" s="105">
        <f t="shared" si="5"/>
        <v>40</v>
      </c>
      <c r="S93" s="72">
        <f t="shared" si="5"/>
        <v>3</v>
      </c>
      <c r="T93" s="73">
        <f>SUM(Q93:S93)</f>
        <v>45</v>
      </c>
    </row>
    <row r="94" spans="1:20" s="105" customFormat="1" ht="15.75" thickBot="1" x14ac:dyDescent="0.3">
      <c r="P94" s="167" t="s">
        <v>30</v>
      </c>
      <c r="Q94" s="163">
        <f t="shared" si="5"/>
        <v>1</v>
      </c>
      <c r="R94" s="163">
        <f t="shared" si="5"/>
        <v>0</v>
      </c>
      <c r="S94" s="164">
        <f t="shared" si="5"/>
        <v>1</v>
      </c>
      <c r="T94" s="73">
        <f>SUM(Q94:S94)</f>
        <v>2</v>
      </c>
    </row>
    <row r="95" spans="1:20" s="105" customFormat="1" ht="15.75" thickBot="1" x14ac:dyDescent="0.3">
      <c r="P95" s="158" t="s">
        <v>52</v>
      </c>
      <c r="Q95" s="156">
        <f>SUM(Q92:Q94)</f>
        <v>3</v>
      </c>
      <c r="R95" s="156">
        <f>SUM(R92:R94)</f>
        <v>40</v>
      </c>
      <c r="S95" s="156">
        <f>SUM(S92:S94)</f>
        <v>31</v>
      </c>
      <c r="T95" s="155">
        <f>SUM(Q95:S95)</f>
        <v>74</v>
      </c>
    </row>
    <row r="96" spans="1:20" s="105" customFormat="1" x14ac:dyDescent="0.25"/>
    <row r="97" s="105" customFormat="1" x14ac:dyDescent="0.25"/>
    <row r="98" s="105" customFormat="1" x14ac:dyDescent="0.25"/>
    <row r="99" s="105" customFormat="1" ht="15" customHeight="1" x14ac:dyDescent="0.25"/>
    <row r="100" s="105" customFormat="1" x14ac:dyDescent="0.25"/>
    <row r="101" s="105" customFormat="1" x14ac:dyDescent="0.25"/>
    <row r="102" s="105" customFormat="1" x14ac:dyDescent="0.25"/>
    <row r="103" s="105" customFormat="1" x14ac:dyDescent="0.25"/>
    <row r="104" s="105" customFormat="1" x14ac:dyDescent="0.25"/>
    <row r="105" s="105" customFormat="1" x14ac:dyDescent="0.25"/>
    <row r="106" s="105" customFormat="1" x14ac:dyDescent="0.25"/>
    <row r="107" s="105" customFormat="1" x14ac:dyDescent="0.25"/>
    <row r="108" s="105" customFormat="1" x14ac:dyDescent="0.25"/>
    <row r="109" s="105" customFormat="1" x14ac:dyDescent="0.25"/>
    <row r="110" s="105" customFormat="1" x14ac:dyDescent="0.25"/>
    <row r="111" s="105" customFormat="1" x14ac:dyDescent="0.25"/>
  </sheetData>
  <mergeCells count="21">
    <mergeCell ref="P15:T15"/>
    <mergeCell ref="P5:T5"/>
    <mergeCell ref="P90:T90"/>
    <mergeCell ref="P62:T62"/>
    <mergeCell ref="A87:A89"/>
    <mergeCell ref="C88:I88"/>
    <mergeCell ref="C89:I89"/>
    <mergeCell ref="J89:N89"/>
    <mergeCell ref="P52:T52"/>
    <mergeCell ref="A1:A2"/>
    <mergeCell ref="B1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N4"/>
  </mergeCells>
  <pageMargins left="0.7" right="0.7" top="0.75" bottom="0.75" header="0.3" footer="0.3"/>
  <pageSetup paperSize="8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627DA-54B0-4513-9382-D6511A17A226}">
  <sheetPr>
    <pageSetUpPr fitToPage="1"/>
  </sheetPr>
  <dimension ref="A1:AF443"/>
  <sheetViews>
    <sheetView zoomScale="70" zoomScaleNormal="70" workbookViewId="0">
      <pane ySplit="1305" topLeftCell="A367" activePane="bottomLeft"/>
      <selection activeCell="R24" sqref="R24"/>
      <selection pane="bottomLeft" activeCell="M392" sqref="K387:M392"/>
    </sheetView>
  </sheetViews>
  <sheetFormatPr defaultColWidth="9.140625" defaultRowHeight="17.25" x14ac:dyDescent="0.35"/>
  <cols>
    <col min="1" max="1" width="16.7109375" style="2" customWidth="1"/>
    <col min="2" max="2" width="16.7109375" style="290" customWidth="1"/>
    <col min="3" max="3" width="15.140625" style="2" customWidth="1"/>
    <col min="4" max="5" width="18.42578125" style="2" customWidth="1"/>
    <col min="6" max="7" width="12.7109375" style="2" customWidth="1"/>
    <col min="8" max="8" width="13.140625" style="2" customWidth="1"/>
    <col min="9" max="10" width="12.140625" style="2" customWidth="1"/>
    <col min="11" max="11" width="19.140625" style="27" bestFit="1" customWidth="1"/>
    <col min="12" max="12" width="11.28515625" style="2" customWidth="1"/>
    <col min="13" max="13" width="12.7109375" style="2" bestFit="1" customWidth="1"/>
    <col min="14" max="14" width="12.28515625" style="2" customWidth="1"/>
    <col min="15" max="15" width="10.5703125" style="2" bestFit="1" customWidth="1"/>
    <col min="16" max="17" width="9.140625" style="2"/>
    <col min="18" max="18" width="15.7109375" style="2" customWidth="1"/>
    <col min="19" max="22" width="9.140625" style="2"/>
    <col min="23" max="23" width="9.140625" style="2" customWidth="1"/>
    <col min="24" max="24" width="12" style="2" customWidth="1"/>
    <col min="25" max="25" width="11.85546875" style="2" customWidth="1"/>
    <col min="26" max="16384" width="9.140625" style="2"/>
  </cols>
  <sheetData>
    <row r="1" spans="1:32" ht="16.5" customHeight="1" x14ac:dyDescent="0.3">
      <c r="A1" s="983" t="s">
        <v>87</v>
      </c>
      <c r="B1" s="983"/>
      <c r="C1" s="983"/>
      <c r="D1" s="983"/>
      <c r="E1" s="983"/>
      <c r="F1" s="983"/>
      <c r="G1" s="983"/>
      <c r="H1" s="983"/>
      <c r="I1" s="983"/>
      <c r="J1" s="983"/>
      <c r="K1" s="983"/>
      <c r="L1" s="983"/>
      <c r="M1" s="983"/>
      <c r="N1" s="983"/>
      <c r="O1" s="983"/>
      <c r="P1" s="983"/>
      <c r="Q1" s="983"/>
      <c r="R1" s="984"/>
    </row>
    <row r="2" spans="1:32" ht="17.25" customHeight="1" thickBot="1" x14ac:dyDescent="0.35">
      <c r="A2" s="985"/>
      <c r="B2" s="985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5"/>
      <c r="O2" s="985"/>
      <c r="P2" s="985"/>
      <c r="Q2" s="985"/>
      <c r="R2" s="986"/>
    </row>
    <row r="3" spans="1:32" ht="45.75" customHeight="1" x14ac:dyDescent="0.3">
      <c r="A3" s="987" t="s">
        <v>129</v>
      </c>
      <c r="B3" s="1058" t="s">
        <v>128</v>
      </c>
      <c r="C3" s="989" t="s">
        <v>0</v>
      </c>
      <c r="D3" s="991" t="s">
        <v>4</v>
      </c>
      <c r="E3" s="21" t="s">
        <v>18</v>
      </c>
      <c r="F3" s="19" t="s">
        <v>15</v>
      </c>
      <c r="G3" s="19" t="s">
        <v>178</v>
      </c>
      <c r="H3" s="999" t="s">
        <v>72</v>
      </c>
      <c r="I3" s="999" t="s">
        <v>16</v>
      </c>
      <c r="J3" s="1001" t="s">
        <v>17</v>
      </c>
      <c r="K3" s="997" t="s">
        <v>61</v>
      </c>
      <c r="L3" s="993" t="s">
        <v>2</v>
      </c>
      <c r="M3" s="993"/>
      <c r="N3" s="993"/>
      <c r="O3" s="993"/>
      <c r="P3" s="994"/>
      <c r="Q3" s="1006" t="s">
        <v>167</v>
      </c>
      <c r="R3" s="1006" t="s">
        <v>169</v>
      </c>
    </row>
    <row r="4" spans="1:32" ht="9" customHeight="1" thickBot="1" x14ac:dyDescent="0.35">
      <c r="A4" s="988"/>
      <c r="B4" s="1059"/>
      <c r="C4" s="990"/>
      <c r="D4" s="992"/>
      <c r="E4" s="22"/>
      <c r="F4" s="20"/>
      <c r="G4" s="20"/>
      <c r="H4" s="1000"/>
      <c r="I4" s="1000"/>
      <c r="J4" s="1002"/>
      <c r="K4" s="998"/>
      <c r="L4" s="995"/>
      <c r="M4" s="995"/>
      <c r="N4" s="995"/>
      <c r="O4" s="995"/>
      <c r="P4" s="996"/>
      <c r="Q4" s="1007"/>
      <c r="R4" s="1007"/>
    </row>
    <row r="5" spans="1:32" ht="18" thickTop="1" thickBot="1" x14ac:dyDescent="0.35">
      <c r="A5" s="298"/>
      <c r="B5" s="309"/>
      <c r="C5" s="298"/>
      <c r="D5" s="294"/>
      <c r="E5" s="294"/>
      <c r="F5" s="294"/>
      <c r="G5" s="294"/>
      <c r="H5" s="295"/>
      <c r="I5" s="295"/>
      <c r="J5" s="295"/>
      <c r="K5" s="299"/>
      <c r="L5" s="297">
        <v>1</v>
      </c>
      <c r="M5" s="296">
        <v>2</v>
      </c>
      <c r="N5" s="296">
        <v>3</v>
      </c>
      <c r="O5" s="296">
        <v>4</v>
      </c>
      <c r="P5" s="296">
        <v>5</v>
      </c>
      <c r="Q5" s="370"/>
      <c r="R5" s="370"/>
      <c r="U5" s="1003" t="s">
        <v>50</v>
      </c>
      <c r="V5" s="1004"/>
      <c r="W5" s="1004"/>
      <c r="X5" s="1004"/>
      <c r="Y5" s="1004"/>
      <c r="Z5" s="1004"/>
      <c r="AA5" s="1005"/>
      <c r="AB5" s="395"/>
    </row>
    <row r="6" spans="1:32" x14ac:dyDescent="0.35">
      <c r="A6" s="1074" t="s">
        <v>89</v>
      </c>
      <c r="B6" s="1076" t="s">
        <v>122</v>
      </c>
      <c r="C6" s="300">
        <v>1</v>
      </c>
      <c r="D6" s="30">
        <v>65</v>
      </c>
      <c r="E6" s="31">
        <f t="shared" ref="E6:E24" si="0">SUM(D6*10.7639)</f>
        <v>699.65350000000001</v>
      </c>
      <c r="F6" s="293"/>
      <c r="G6" s="293"/>
      <c r="H6" s="282" t="s">
        <v>8</v>
      </c>
      <c r="I6" s="282"/>
      <c r="J6" s="283"/>
      <c r="K6" s="284" t="s">
        <v>63</v>
      </c>
      <c r="L6" s="285"/>
      <c r="M6" s="282" t="s">
        <v>8</v>
      </c>
      <c r="N6" s="282"/>
      <c r="O6" s="282"/>
      <c r="P6" s="286"/>
      <c r="Q6" s="361"/>
      <c r="R6" s="371" t="s">
        <v>170</v>
      </c>
      <c r="U6" s="167"/>
      <c r="V6" s="163" t="s">
        <v>60</v>
      </c>
      <c r="W6" s="398" t="s">
        <v>196</v>
      </c>
      <c r="X6" s="481" t="s">
        <v>80</v>
      </c>
      <c r="Y6" s="163" t="s">
        <v>55</v>
      </c>
      <c r="Z6" s="164" t="s">
        <v>56</v>
      </c>
      <c r="AA6" s="396" t="s">
        <v>52</v>
      </c>
      <c r="AC6" s="510" t="s">
        <v>255</v>
      </c>
      <c r="AE6" s="504" t="s">
        <v>256</v>
      </c>
      <c r="AF6" s="504" t="s">
        <v>56</v>
      </c>
    </row>
    <row r="7" spans="1:32" x14ac:dyDescent="0.35">
      <c r="A7" s="1072"/>
      <c r="B7" s="1016"/>
      <c r="C7" s="301">
        <v>2</v>
      </c>
      <c r="D7" s="25">
        <v>103</v>
      </c>
      <c r="E7" s="26">
        <f t="shared" si="0"/>
        <v>1108.6816999999999</v>
      </c>
      <c r="F7" s="276"/>
      <c r="G7" s="276"/>
      <c r="H7" s="276" t="s">
        <v>8</v>
      </c>
      <c r="I7" s="276"/>
      <c r="J7" s="277"/>
      <c r="K7" s="278" t="s">
        <v>63</v>
      </c>
      <c r="L7" s="279"/>
      <c r="M7" s="276"/>
      <c r="N7" s="276" t="s">
        <v>8</v>
      </c>
      <c r="O7" s="276"/>
      <c r="P7" s="280"/>
      <c r="Q7" s="359"/>
      <c r="R7" s="371" t="s">
        <v>170</v>
      </c>
      <c r="U7" s="157" t="s">
        <v>28</v>
      </c>
      <c r="V7" s="105" cm="1">
        <f t="array" ref="V7">SUM(IF((F6:F353="Y")*(L6:L353="Y"), 1, 0))</f>
        <v>0</v>
      </c>
      <c r="W7" s="105">
        <f>SUM(IF((G6:G353="Y")*(L6:L353="Y"), 1, 0))</f>
        <v>0</v>
      </c>
      <c r="X7" s="105" cm="1">
        <f t="array" ref="X7">SUM(IF((H6:H353="Y")*(L6:L353="Y"), 1, 0))</f>
        <v>22</v>
      </c>
      <c r="Y7" s="105" cm="1">
        <f t="array" ref="Y7">SUM(IF((I6:I353="Y")*(L6:L353="Y"), 1, 0))</f>
        <v>6</v>
      </c>
      <c r="Z7" s="72" cm="1">
        <f t="array" ref="Z7">SUM(IF((J6:J353="Y")*(L6:L353="Y"), 1, 0))</f>
        <v>111</v>
      </c>
      <c r="AA7" s="73">
        <f>SUM(V7:Z7)</f>
        <v>139</v>
      </c>
      <c r="AC7" s="502">
        <v>64</v>
      </c>
      <c r="AE7" s="504">
        <v>9</v>
      </c>
      <c r="AF7" s="504">
        <v>55</v>
      </c>
    </row>
    <row r="8" spans="1:32" x14ac:dyDescent="0.35">
      <c r="A8" s="1072"/>
      <c r="B8" s="1016"/>
      <c r="C8" s="301">
        <v>3</v>
      </c>
      <c r="D8" s="25">
        <v>83.5</v>
      </c>
      <c r="E8" s="26">
        <f t="shared" si="0"/>
        <v>898.78564999999992</v>
      </c>
      <c r="F8" s="276" t="s">
        <v>8</v>
      </c>
      <c r="G8" s="276"/>
      <c r="H8" s="276"/>
      <c r="I8" s="276"/>
      <c r="J8" s="277"/>
      <c r="K8" s="278" t="s">
        <v>64</v>
      </c>
      <c r="L8" s="279"/>
      <c r="M8" s="276" t="s">
        <v>8</v>
      </c>
      <c r="N8" s="276"/>
      <c r="O8" s="276"/>
      <c r="P8" s="280"/>
      <c r="Q8" s="359"/>
      <c r="R8" s="371" t="s">
        <v>170</v>
      </c>
      <c r="U8" s="157" t="s">
        <v>29</v>
      </c>
      <c r="V8" s="105" cm="1">
        <f t="array" ref="V8">SUM(IF((F6:F353="Y")*(M6:M353="Y"), 1, 0))</f>
        <v>44</v>
      </c>
      <c r="W8" s="105" cm="1">
        <f t="array" ref="W8">SUM(IF((G6:G353="Y")*(M6:M353="Y"), 1, 0))</f>
        <v>3</v>
      </c>
      <c r="X8" s="105" cm="1">
        <f t="array" ref="X8">SUM(IF((H6:H353="Y")*(M6:M353="Y"), 1, 0))</f>
        <v>23</v>
      </c>
      <c r="Y8" s="105" cm="1">
        <f t="array" ref="Y8">SUM(IF((I6:I353="Y")*(M6:M353="Y"), 1, 0))</f>
        <v>20</v>
      </c>
      <c r="Z8" s="72" cm="1">
        <f t="array" ref="Z8">SUM(IF((J6:J353="Y")*(M6:M353="Y"), 1, 0))</f>
        <v>6</v>
      </c>
      <c r="AA8" s="73">
        <f>SUM(V8:Z8)</f>
        <v>96</v>
      </c>
    </row>
    <row r="9" spans="1:32" x14ac:dyDescent="0.35">
      <c r="A9" s="1072"/>
      <c r="B9" s="1016"/>
      <c r="C9" s="301">
        <v>4</v>
      </c>
      <c r="D9" s="25">
        <v>97.7</v>
      </c>
      <c r="E9" s="26">
        <f t="shared" si="0"/>
        <v>1051.63303</v>
      </c>
      <c r="F9" s="276" t="s">
        <v>8</v>
      </c>
      <c r="G9" s="276"/>
      <c r="H9" s="276"/>
      <c r="I9" s="276"/>
      <c r="J9" s="277"/>
      <c r="K9" s="278" t="s">
        <v>64</v>
      </c>
      <c r="L9" s="279"/>
      <c r="M9" s="276" t="s">
        <v>8</v>
      </c>
      <c r="N9" s="276"/>
      <c r="O9" s="276"/>
      <c r="P9" s="280"/>
      <c r="Q9" s="359"/>
      <c r="R9" s="371" t="s">
        <v>170</v>
      </c>
      <c r="U9" s="157" t="s">
        <v>30</v>
      </c>
      <c r="V9" s="105" cm="1">
        <f t="array" ref="V9">SUM(IF((F6:F353="Y")*(N6:N353="Y"), 1, 0))</f>
        <v>47</v>
      </c>
      <c r="W9" s="105" cm="1">
        <f t="array" ref="W9">SUM(IF((G6:G353="Y")*(O6:O353="Y"), 1, 0))</f>
        <v>0</v>
      </c>
      <c r="X9" s="105" cm="1">
        <f t="array" ref="X9">SUM(IF((H6:H353="Y")*(N6:N353="Y"), 1, 0))</f>
        <v>18</v>
      </c>
      <c r="Y9" s="105" cm="1">
        <f t="array" ref="Y9">SUM(IF((I6:I353="Y")*(N6:N353="Y"), 1, 0))</f>
        <v>2</v>
      </c>
      <c r="Z9" s="72" cm="1">
        <f t="array" ref="Z9">SUM(IF((J6:J353="Y")*(N6:N353="Y"), 1, 0))</f>
        <v>2</v>
      </c>
      <c r="AA9" s="73">
        <f>SUM(V9:Z9)</f>
        <v>69</v>
      </c>
    </row>
    <row r="10" spans="1:32" ht="18" thickBot="1" x14ac:dyDescent="0.4">
      <c r="A10" s="1072"/>
      <c r="B10" s="1016"/>
      <c r="C10" s="301">
        <v>5</v>
      </c>
      <c r="D10" s="25">
        <v>70.2</v>
      </c>
      <c r="E10" s="26">
        <f t="shared" si="0"/>
        <v>755.62577999999996</v>
      </c>
      <c r="F10" s="276" t="s">
        <v>8</v>
      </c>
      <c r="G10" s="276"/>
      <c r="H10" s="276"/>
      <c r="I10" s="276"/>
      <c r="J10" s="277"/>
      <c r="K10" s="278" t="s">
        <v>64</v>
      </c>
      <c r="L10" s="279"/>
      <c r="M10" s="276" t="s">
        <v>8</v>
      </c>
      <c r="N10" s="276"/>
      <c r="O10" s="276"/>
      <c r="P10" s="280"/>
      <c r="Q10" s="360"/>
      <c r="R10" s="371" t="s">
        <v>170</v>
      </c>
      <c r="U10" s="167" t="s">
        <v>62</v>
      </c>
      <c r="V10" s="163" cm="1">
        <f t="array" ref="V10">SUM(IF((F6:F353="Y")*(O6:O353="Y"), 1, 0))</f>
        <v>13</v>
      </c>
      <c r="W10" s="163" cm="1">
        <f t="array" ref="W10">SUM(IF((G6:G353="Y")*(P6:P353="Y"), 1, 0))</f>
        <v>0</v>
      </c>
      <c r="X10" s="163" cm="1">
        <f t="array" ref="X10">SUM(IF((H6:H353="Y")*(O6:O353="Y"), 1, 0))</f>
        <v>0</v>
      </c>
      <c r="Y10" s="163" cm="1">
        <f t="array" ref="Y10">SUM(IF((I6:I353="Y")*(O6:O353="Y"), 1, 0))</f>
        <v>0</v>
      </c>
      <c r="Z10" s="163" cm="1">
        <f t="array" ref="Z10">SUM(IF((J6:J353="Y")*(O6:O353="Y"), 1, 0))</f>
        <v>0</v>
      </c>
      <c r="AA10" s="174">
        <f>SUM(V10:Z10)</f>
        <v>13</v>
      </c>
    </row>
    <row r="11" spans="1:32" ht="18" thickBot="1" x14ac:dyDescent="0.4">
      <c r="A11" s="1072"/>
      <c r="B11" s="1018" t="s">
        <v>44</v>
      </c>
      <c r="C11" s="301">
        <v>6</v>
      </c>
      <c r="D11" s="25">
        <v>100.6</v>
      </c>
      <c r="E11" s="26">
        <f t="shared" si="0"/>
        <v>1082.84834</v>
      </c>
      <c r="F11" s="276" t="s">
        <v>8</v>
      </c>
      <c r="G11" s="276"/>
      <c r="H11" s="276"/>
      <c r="I11" s="276"/>
      <c r="J11" s="277"/>
      <c r="K11" s="278" t="s">
        <v>163</v>
      </c>
      <c r="L11" s="279"/>
      <c r="M11" s="276"/>
      <c r="N11" s="276" t="s">
        <v>8</v>
      </c>
      <c r="O11" s="276"/>
      <c r="P11" s="280"/>
      <c r="Q11" s="361"/>
      <c r="R11" s="371" t="s">
        <v>170</v>
      </c>
      <c r="U11" s="158" t="s">
        <v>52</v>
      </c>
      <c r="V11" s="156">
        <f>SUM(V7:V10)</f>
        <v>104</v>
      </c>
      <c r="W11" s="441">
        <f>SUM(W8:W10)</f>
        <v>3</v>
      </c>
      <c r="X11" s="156">
        <f>SUM(X7:X10)</f>
        <v>63</v>
      </c>
      <c r="Y11" s="156">
        <f>SUM(Y7:Y10)</f>
        <v>28</v>
      </c>
      <c r="Z11" s="156">
        <f>SUM(Z7:Z10)</f>
        <v>119</v>
      </c>
      <c r="AA11" s="155">
        <f>SUM(V11:Z11)</f>
        <v>317</v>
      </c>
    </row>
    <row r="12" spans="1:32" ht="18" thickBot="1" x14ac:dyDescent="0.4">
      <c r="A12" s="1072"/>
      <c r="B12" s="1018"/>
      <c r="C12" s="301">
        <v>7</v>
      </c>
      <c r="D12" s="25">
        <v>79.8</v>
      </c>
      <c r="E12" s="26">
        <f t="shared" si="0"/>
        <v>858.95921999999996</v>
      </c>
      <c r="F12" s="276" t="s">
        <v>8</v>
      </c>
      <c r="G12" s="276"/>
      <c r="H12" s="276"/>
      <c r="I12" s="276"/>
      <c r="J12" s="277"/>
      <c r="K12" s="278" t="s">
        <v>163</v>
      </c>
      <c r="L12" s="279"/>
      <c r="M12" s="276" t="s">
        <v>8</v>
      </c>
      <c r="N12" s="276"/>
      <c r="O12" s="276"/>
      <c r="P12" s="280"/>
      <c r="Q12" s="359"/>
      <c r="R12" s="371" t="s">
        <v>170</v>
      </c>
    </row>
    <row r="13" spans="1:32" ht="18" thickBot="1" x14ac:dyDescent="0.4">
      <c r="A13" s="1072"/>
      <c r="B13" s="1018"/>
      <c r="C13" s="979">
        <v>8</v>
      </c>
      <c r="D13" s="950">
        <v>140.19999999999999</v>
      </c>
      <c r="E13" s="952">
        <f>SUM(D13*10.7639)</f>
        <v>1509.0987799999998</v>
      </c>
      <c r="F13" s="944" t="s">
        <v>8</v>
      </c>
      <c r="G13" s="942"/>
      <c r="H13" s="942"/>
      <c r="I13" s="942"/>
      <c r="J13" s="964"/>
      <c r="K13" s="278" t="s">
        <v>163</v>
      </c>
      <c r="L13" s="966"/>
      <c r="M13" s="942"/>
      <c r="N13" s="942"/>
      <c r="O13" s="944" t="s">
        <v>8</v>
      </c>
      <c r="P13" s="968"/>
      <c r="Q13" s="970"/>
      <c r="R13" s="958" t="s">
        <v>171</v>
      </c>
      <c r="U13" s="823" t="s">
        <v>68</v>
      </c>
      <c r="V13" s="824"/>
      <c r="W13" s="824"/>
      <c r="X13" s="825"/>
      <c r="Z13" s="795" t="s">
        <v>68</v>
      </c>
      <c r="AA13" s="811"/>
      <c r="AB13" s="811"/>
      <c r="AC13" s="811"/>
      <c r="AD13" s="798"/>
    </row>
    <row r="14" spans="1:32" x14ac:dyDescent="0.35">
      <c r="A14" s="1072"/>
      <c r="B14" s="1018"/>
      <c r="C14" s="980"/>
      <c r="D14" s="951"/>
      <c r="E14" s="953"/>
      <c r="F14" s="945"/>
      <c r="G14" s="943"/>
      <c r="H14" s="943"/>
      <c r="I14" s="943"/>
      <c r="J14" s="965"/>
      <c r="K14" s="278" t="s">
        <v>63</v>
      </c>
      <c r="L14" s="967"/>
      <c r="M14" s="943"/>
      <c r="N14" s="943"/>
      <c r="O14" s="945"/>
      <c r="P14" s="969"/>
      <c r="Q14" s="971"/>
      <c r="R14" s="961"/>
      <c r="U14" s="826" t="s">
        <v>70</v>
      </c>
      <c r="V14" s="827"/>
      <c r="W14" s="828" t="s">
        <v>69</v>
      </c>
      <c r="X14" s="829"/>
      <c r="Z14" s="826" t="s">
        <v>70</v>
      </c>
      <c r="AA14" s="830"/>
      <c r="AB14" s="827"/>
      <c r="AC14" s="831" t="s">
        <v>332</v>
      </c>
      <c r="AD14" s="829"/>
    </row>
    <row r="15" spans="1:32" ht="17.25" customHeight="1" x14ac:dyDescent="0.35">
      <c r="A15" s="1072"/>
      <c r="B15" s="1018"/>
      <c r="C15" s="301">
        <v>9</v>
      </c>
      <c r="D15" s="25">
        <v>85</v>
      </c>
      <c r="E15" s="26">
        <f t="shared" si="0"/>
        <v>914.93149999999991</v>
      </c>
      <c r="F15" s="276"/>
      <c r="G15" s="276"/>
      <c r="H15" s="276" t="s">
        <v>8</v>
      </c>
      <c r="I15" s="276"/>
      <c r="J15" s="277"/>
      <c r="K15" s="278" t="s">
        <v>63</v>
      </c>
      <c r="L15" s="279"/>
      <c r="M15" s="276" t="s">
        <v>8</v>
      </c>
      <c r="N15" s="276"/>
      <c r="O15" s="276"/>
      <c r="P15" s="280"/>
      <c r="Q15" s="359"/>
      <c r="R15" s="371" t="s">
        <v>170</v>
      </c>
      <c r="U15" s="818" t="s">
        <v>163</v>
      </c>
      <c r="V15" s="820"/>
      <c r="W15" s="847">
        <f>COUNTIF(K6:K353,"Private Front Garden")</f>
        <v>34</v>
      </c>
      <c r="X15" s="848"/>
      <c r="Z15" s="809" t="s">
        <v>151</v>
      </c>
      <c r="AA15" s="791"/>
      <c r="AB15" s="791"/>
      <c r="AC15" s="821">
        <f>B442</f>
        <v>9750.6989999999987</v>
      </c>
      <c r="AD15" s="822"/>
    </row>
    <row r="16" spans="1:32" ht="17.25" customHeight="1" x14ac:dyDescent="0.35">
      <c r="A16" s="1072"/>
      <c r="B16" s="1018"/>
      <c r="C16" s="301">
        <v>10</v>
      </c>
      <c r="D16" s="25">
        <v>54.5</v>
      </c>
      <c r="E16" s="26">
        <f t="shared" si="0"/>
        <v>586.63254999999992</v>
      </c>
      <c r="F16" s="276"/>
      <c r="G16" s="276"/>
      <c r="H16" s="276" t="s">
        <v>8</v>
      </c>
      <c r="I16" s="276"/>
      <c r="J16" s="277"/>
      <c r="K16" s="278" t="s">
        <v>63</v>
      </c>
      <c r="L16" s="279" t="s">
        <v>8</v>
      </c>
      <c r="M16" s="276"/>
      <c r="N16" s="276"/>
      <c r="O16" s="276"/>
      <c r="P16" s="280"/>
      <c r="Q16" s="361"/>
      <c r="R16" s="371" t="s">
        <v>170</v>
      </c>
      <c r="U16" s="809" t="s">
        <v>164</v>
      </c>
      <c r="V16" s="810"/>
      <c r="W16" s="805">
        <f>COUNTIF(K6:K353,"Private Rear Garden")</f>
        <v>9</v>
      </c>
      <c r="X16" s="806"/>
      <c r="Z16" s="809" t="s">
        <v>224</v>
      </c>
      <c r="AA16" s="791"/>
      <c r="AB16" s="810"/>
      <c r="AC16" s="808">
        <f>C442</f>
        <v>24924.857399999997</v>
      </c>
      <c r="AD16" s="806"/>
    </row>
    <row r="17" spans="1:30" ht="17.25" customHeight="1" x14ac:dyDescent="0.35">
      <c r="A17" s="1072"/>
      <c r="B17" s="1018"/>
      <c r="C17" s="301">
        <v>11</v>
      </c>
      <c r="D17" s="25">
        <v>86.1</v>
      </c>
      <c r="E17" s="26">
        <f t="shared" si="0"/>
        <v>926.7717899999999</v>
      </c>
      <c r="F17" s="276"/>
      <c r="G17" s="276"/>
      <c r="H17" s="276" t="s">
        <v>8</v>
      </c>
      <c r="I17" s="276"/>
      <c r="J17" s="277"/>
      <c r="K17" s="278" t="s">
        <v>63</v>
      </c>
      <c r="L17" s="279"/>
      <c r="M17" s="276" t="s">
        <v>8</v>
      </c>
      <c r="N17" s="276"/>
      <c r="O17" s="276"/>
      <c r="P17" s="280"/>
      <c r="Q17" s="359"/>
      <c r="R17" s="371" t="s">
        <v>170</v>
      </c>
      <c r="U17" s="803" t="s">
        <v>67</v>
      </c>
      <c r="V17" s="804"/>
      <c r="W17" s="805">
        <f>COUNTIF(K6:K353,"Shared Garden")</f>
        <v>12</v>
      </c>
      <c r="X17" s="806"/>
      <c r="Z17" s="638" t="s">
        <v>152</v>
      </c>
      <c r="AA17" s="222"/>
      <c r="AC17" s="808">
        <f>D442</f>
        <v>4981.0220999999992</v>
      </c>
      <c r="AD17" s="806"/>
    </row>
    <row r="18" spans="1:30" ht="17.25" customHeight="1" x14ac:dyDescent="0.35">
      <c r="A18" s="1072"/>
      <c r="B18" s="1018"/>
      <c r="C18" s="301">
        <v>12</v>
      </c>
      <c r="D18" s="25">
        <v>71.5</v>
      </c>
      <c r="E18" s="26">
        <f t="shared" si="0"/>
        <v>769.61884999999995</v>
      </c>
      <c r="F18" s="276" t="s">
        <v>8</v>
      </c>
      <c r="G18" s="276"/>
      <c r="H18" s="276"/>
      <c r="I18" s="276"/>
      <c r="J18" s="277"/>
      <c r="K18" s="278" t="s">
        <v>64</v>
      </c>
      <c r="L18" s="279"/>
      <c r="M18" s="276" t="s">
        <v>8</v>
      </c>
      <c r="N18" s="276"/>
      <c r="O18" s="276"/>
      <c r="P18" s="280"/>
      <c r="Q18" s="359"/>
      <c r="R18" s="371" t="s">
        <v>170</v>
      </c>
      <c r="U18" s="803" t="s">
        <v>63</v>
      </c>
      <c r="V18" s="804"/>
      <c r="W18" s="805">
        <f>COUNTIF(K6:K353,"Roof Terrace")</f>
        <v>61</v>
      </c>
      <c r="X18" s="806"/>
      <c r="Z18" s="803" t="s">
        <v>153</v>
      </c>
      <c r="AA18" s="807"/>
      <c r="AB18" s="804"/>
      <c r="AC18" s="808">
        <f>E442</f>
        <v>1950.1397999999997</v>
      </c>
      <c r="AD18" s="932"/>
    </row>
    <row r="19" spans="1:30" ht="17.25" customHeight="1" x14ac:dyDescent="0.35">
      <c r="A19" s="1072"/>
      <c r="B19" s="1018"/>
      <c r="C19" s="301">
        <v>13</v>
      </c>
      <c r="D19" s="25">
        <v>105.8</v>
      </c>
      <c r="E19" s="26">
        <f t="shared" si="0"/>
        <v>1138.82062</v>
      </c>
      <c r="F19" s="276" t="s">
        <v>8</v>
      </c>
      <c r="G19" s="276"/>
      <c r="H19" s="276"/>
      <c r="I19" s="276"/>
      <c r="J19" s="277"/>
      <c r="K19" s="278" t="s">
        <v>63</v>
      </c>
      <c r="L19" s="279"/>
      <c r="M19" s="276"/>
      <c r="N19" s="276" t="s">
        <v>8</v>
      </c>
      <c r="O19" s="276"/>
      <c r="P19" s="280"/>
      <c r="Q19" s="359"/>
      <c r="R19" s="372" t="s">
        <v>171</v>
      </c>
      <c r="U19" s="809" t="s">
        <v>179</v>
      </c>
      <c r="V19" s="810"/>
      <c r="W19" s="805">
        <f>COUNTIF(K6:K353,"Shared Roof Terrace")</f>
        <v>2</v>
      </c>
      <c r="X19" s="806"/>
      <c r="Z19" s="809" t="s">
        <v>333</v>
      </c>
      <c r="AA19" s="791"/>
      <c r="AB19" s="810"/>
      <c r="AC19" s="808">
        <f>F442</f>
        <v>11883.3642</v>
      </c>
      <c r="AD19" s="806"/>
    </row>
    <row r="20" spans="1:30" x14ac:dyDescent="0.35">
      <c r="A20" s="1072"/>
      <c r="B20" s="1018"/>
      <c r="C20" s="301">
        <v>14</v>
      </c>
      <c r="D20" s="25">
        <v>70.599999999999994</v>
      </c>
      <c r="E20" s="26">
        <f t="shared" si="0"/>
        <v>759.93133999999986</v>
      </c>
      <c r="F20" s="276" t="s">
        <v>8</v>
      </c>
      <c r="G20" s="276"/>
      <c r="H20" s="276"/>
      <c r="I20" s="276"/>
      <c r="J20" s="277"/>
      <c r="K20" s="278" t="s">
        <v>163</v>
      </c>
      <c r="L20" s="279"/>
      <c r="M20" s="276" t="s">
        <v>8</v>
      </c>
      <c r="N20" s="276"/>
      <c r="O20" s="276"/>
      <c r="P20" s="280"/>
      <c r="Q20" s="359"/>
      <c r="R20" s="371" t="s">
        <v>170</v>
      </c>
      <c r="U20" s="803" t="s">
        <v>66</v>
      </c>
      <c r="V20" s="804"/>
      <c r="W20" s="805">
        <f>COUNTIF(K6:K353,"Balcony")</f>
        <v>64</v>
      </c>
      <c r="X20" s="806"/>
      <c r="Z20" s="803" t="s">
        <v>155</v>
      </c>
      <c r="AA20" s="807"/>
      <c r="AB20" s="804"/>
      <c r="AC20" s="808">
        <f>G442</f>
        <v>7357.5881999999992</v>
      </c>
      <c r="AD20" s="932"/>
    </row>
    <row r="21" spans="1:30" ht="17.25" customHeight="1" x14ac:dyDescent="0.35">
      <c r="A21" s="1072"/>
      <c r="B21" s="1018" t="s">
        <v>122</v>
      </c>
      <c r="C21" s="301">
        <v>15</v>
      </c>
      <c r="D21" s="25">
        <v>99.3</v>
      </c>
      <c r="E21" s="26">
        <f t="shared" si="0"/>
        <v>1068.85527</v>
      </c>
      <c r="F21" s="276" t="s">
        <v>8</v>
      </c>
      <c r="G21" s="276"/>
      <c r="H21" s="276"/>
      <c r="I21" s="276"/>
      <c r="J21" s="277"/>
      <c r="K21" s="278" t="s">
        <v>163</v>
      </c>
      <c r="L21" s="279"/>
      <c r="M21" s="276"/>
      <c r="N21" s="276" t="s">
        <v>8</v>
      </c>
      <c r="O21" s="276"/>
      <c r="P21" s="280"/>
      <c r="Q21" s="359" t="s">
        <v>8</v>
      </c>
      <c r="R21" s="371" t="s">
        <v>170</v>
      </c>
      <c r="U21" s="803" t="s">
        <v>64</v>
      </c>
      <c r="V21" s="804"/>
      <c r="W21" s="805">
        <f>COUNTIF(K6:K353,"Frontage Amenity")</f>
        <v>36</v>
      </c>
      <c r="X21" s="806"/>
      <c r="Z21" s="803" t="s">
        <v>156</v>
      </c>
      <c r="AA21" s="807"/>
      <c r="AB21" s="804"/>
      <c r="AC21" s="808">
        <f>H442</f>
        <v>4936.7249999999995</v>
      </c>
      <c r="AD21" s="806"/>
    </row>
    <row r="22" spans="1:30" ht="17.25" customHeight="1" x14ac:dyDescent="0.35">
      <c r="A22" s="1072"/>
      <c r="B22" s="1018"/>
      <c r="C22" s="301">
        <v>16</v>
      </c>
      <c r="D22" s="25">
        <v>83.1</v>
      </c>
      <c r="E22" s="26">
        <f t="shared" si="0"/>
        <v>894.4800899999999</v>
      </c>
      <c r="F22" s="276" t="s">
        <v>8</v>
      </c>
      <c r="G22" s="276"/>
      <c r="H22" s="276"/>
      <c r="I22" s="276"/>
      <c r="J22" s="277"/>
      <c r="K22" s="278" t="s">
        <v>63</v>
      </c>
      <c r="L22" s="279"/>
      <c r="M22" s="276" t="s">
        <v>8</v>
      </c>
      <c r="N22" s="276"/>
      <c r="O22" s="276"/>
      <c r="P22" s="280"/>
      <c r="Q22" s="360" t="s">
        <v>8</v>
      </c>
      <c r="R22" s="372" t="s">
        <v>171</v>
      </c>
      <c r="T22" s="312"/>
      <c r="U22" s="809" t="s">
        <v>218</v>
      </c>
      <c r="V22" s="810"/>
      <c r="W22" s="981">
        <f>COUNTIF(K6:K353,"Side Amenity")</f>
        <v>3</v>
      </c>
      <c r="X22" s="934"/>
      <c r="Y22" s="395"/>
      <c r="Z22" s="809" t="s">
        <v>158</v>
      </c>
      <c r="AA22" s="791"/>
      <c r="AB22" s="810"/>
      <c r="AC22" s="933">
        <f>J442</f>
        <v>4794.7608</v>
      </c>
      <c r="AD22" s="934"/>
    </row>
    <row r="23" spans="1:30" ht="17.25" customHeight="1" x14ac:dyDescent="0.35">
      <c r="A23" s="1072"/>
      <c r="B23" s="1018"/>
      <c r="C23" s="301">
        <v>17</v>
      </c>
      <c r="D23" s="25">
        <v>83.1</v>
      </c>
      <c r="E23" s="26">
        <f t="shared" si="0"/>
        <v>894.4800899999999</v>
      </c>
      <c r="F23" s="276" t="s">
        <v>8</v>
      </c>
      <c r="G23" s="276"/>
      <c r="H23" s="276"/>
      <c r="I23" s="276"/>
      <c r="J23" s="277"/>
      <c r="K23" s="278" t="s">
        <v>63</v>
      </c>
      <c r="L23" s="279"/>
      <c r="M23" s="276" t="s">
        <v>8</v>
      </c>
      <c r="N23" s="276"/>
      <c r="O23" s="276"/>
      <c r="P23" s="280"/>
      <c r="Q23" s="361" t="s">
        <v>8</v>
      </c>
      <c r="R23" s="372" t="s">
        <v>171</v>
      </c>
      <c r="T23" s="312"/>
      <c r="U23" s="809" t="s">
        <v>219</v>
      </c>
      <c r="V23" s="810"/>
      <c r="W23" s="981">
        <f>COUNTIF(K6:K353,"Shared Amenity")</f>
        <v>4</v>
      </c>
      <c r="X23" s="934"/>
      <c r="Z23" s="809" t="s">
        <v>63</v>
      </c>
      <c r="AA23" s="791"/>
      <c r="AB23" s="810"/>
      <c r="AC23" s="933">
        <f>K442</f>
        <v>10148.839199999999</v>
      </c>
      <c r="AD23" s="934"/>
    </row>
    <row r="24" spans="1:30" ht="18" customHeight="1" thickBot="1" x14ac:dyDescent="0.4">
      <c r="A24" s="1072"/>
      <c r="B24" s="1018"/>
      <c r="C24" s="301">
        <v>18</v>
      </c>
      <c r="D24" s="25">
        <v>65.599999999999994</v>
      </c>
      <c r="E24" s="26">
        <f t="shared" si="0"/>
        <v>706.11183999999992</v>
      </c>
      <c r="F24" s="276"/>
      <c r="G24" s="276"/>
      <c r="H24" s="276" t="s">
        <v>8</v>
      </c>
      <c r="I24" s="276"/>
      <c r="J24" s="277"/>
      <c r="K24" s="278" t="s">
        <v>65</v>
      </c>
      <c r="L24" s="279"/>
      <c r="M24" s="276" t="s">
        <v>8</v>
      </c>
      <c r="N24" s="276"/>
      <c r="O24" s="276"/>
      <c r="P24" s="280"/>
      <c r="Q24" s="359"/>
      <c r="R24" s="371" t="s">
        <v>170</v>
      </c>
      <c r="U24" s="799" t="s">
        <v>65</v>
      </c>
      <c r="V24" s="800"/>
      <c r="W24" s="813">
        <f>COUNTIF(K6:K353,"Community Amenity")</f>
        <v>123</v>
      </c>
      <c r="X24" s="814"/>
      <c r="Z24" s="815" t="s">
        <v>159</v>
      </c>
      <c r="AA24" s="816"/>
      <c r="AB24" s="817"/>
      <c r="AC24" s="935">
        <f>L442</f>
        <v>3779.6633999999995</v>
      </c>
      <c r="AD24" s="936"/>
    </row>
    <row r="25" spans="1:30" ht="18" thickBot="1" x14ac:dyDescent="0.4">
      <c r="A25" s="1072"/>
      <c r="B25" s="1018"/>
      <c r="C25" s="301">
        <v>19</v>
      </c>
      <c r="D25" s="25">
        <v>83.7</v>
      </c>
      <c r="E25" s="26">
        <f t="shared" ref="E25:E32" si="1">SUM(D25*10.7639)</f>
        <v>900.93843000000004</v>
      </c>
      <c r="F25" s="276"/>
      <c r="G25" s="276"/>
      <c r="H25" s="276" t="s">
        <v>8</v>
      </c>
      <c r="I25" s="276"/>
      <c r="J25" s="277"/>
      <c r="K25" s="278" t="s">
        <v>63</v>
      </c>
      <c r="L25" s="279"/>
      <c r="M25" s="276" t="s">
        <v>8</v>
      </c>
      <c r="N25" s="276"/>
      <c r="P25" s="280"/>
      <c r="Q25" s="361"/>
      <c r="R25" s="371" t="s">
        <v>170</v>
      </c>
      <c r="T25" s="312"/>
      <c r="U25" s="795" t="s">
        <v>52</v>
      </c>
      <c r="V25" s="796"/>
      <c r="W25" s="797">
        <f>SUM(W13:W24)</f>
        <v>348</v>
      </c>
      <c r="X25" s="798"/>
      <c r="Y25" s="395"/>
      <c r="Z25" s="803" t="s">
        <v>65</v>
      </c>
      <c r="AA25" s="807"/>
      <c r="AB25" s="804"/>
      <c r="AC25" s="801">
        <f>M442</f>
        <v>6380.917199999999</v>
      </c>
      <c r="AD25" s="802"/>
    </row>
    <row r="26" spans="1:30" ht="18" thickBot="1" x14ac:dyDescent="0.4">
      <c r="A26" s="1072"/>
      <c r="B26" s="1018"/>
      <c r="C26" s="301">
        <v>20</v>
      </c>
      <c r="D26" s="25">
        <v>59.6</v>
      </c>
      <c r="E26" s="26">
        <f t="shared" si="1"/>
        <v>641.52844000000005</v>
      </c>
      <c r="F26" s="276"/>
      <c r="G26" s="276"/>
      <c r="H26" s="276" t="s">
        <v>8</v>
      </c>
      <c r="I26" s="276"/>
      <c r="J26" s="277"/>
      <c r="K26" s="278" t="s">
        <v>63</v>
      </c>
      <c r="L26" s="279" t="s">
        <v>8</v>
      </c>
      <c r="M26" s="276"/>
      <c r="N26" s="276"/>
      <c r="O26" s="276"/>
      <c r="P26" s="280"/>
      <c r="Q26" s="359"/>
      <c r="R26" s="371" t="s">
        <v>170</v>
      </c>
      <c r="Z26" s="795" t="s">
        <v>52</v>
      </c>
      <c r="AA26" s="811"/>
      <c r="AB26" s="796"/>
      <c r="AC26" s="812">
        <f>SUM(AC15:AD25)</f>
        <v>90888.576300000001</v>
      </c>
      <c r="AD26" s="798"/>
    </row>
    <row r="27" spans="1:30" ht="18" thickBot="1" x14ac:dyDescent="0.4">
      <c r="A27" s="1072"/>
      <c r="B27" s="1018"/>
      <c r="C27" s="301">
        <v>21</v>
      </c>
      <c r="D27" s="25">
        <v>83.6</v>
      </c>
      <c r="E27" s="26">
        <f t="shared" si="1"/>
        <v>899.86203999999987</v>
      </c>
      <c r="F27" s="276" t="s">
        <v>8</v>
      </c>
      <c r="G27" s="276"/>
      <c r="H27" s="276"/>
      <c r="I27" s="276"/>
      <c r="J27" s="277"/>
      <c r="K27" s="278" t="s">
        <v>63</v>
      </c>
      <c r="L27" s="279"/>
      <c r="M27" s="276" t="s">
        <v>8</v>
      </c>
      <c r="N27" s="276"/>
      <c r="O27" s="276"/>
      <c r="P27" s="280"/>
      <c r="Q27" s="359" t="s">
        <v>8</v>
      </c>
      <c r="R27" s="372" t="s">
        <v>171</v>
      </c>
    </row>
    <row r="28" spans="1:30" ht="18" thickBot="1" x14ac:dyDescent="0.4">
      <c r="A28" s="1072"/>
      <c r="B28" s="1018"/>
      <c r="C28" s="301">
        <v>22</v>
      </c>
      <c r="D28" s="25">
        <v>83.6</v>
      </c>
      <c r="E28" s="26">
        <f t="shared" si="1"/>
        <v>899.86203999999987</v>
      </c>
      <c r="F28" s="276" t="s">
        <v>8</v>
      </c>
      <c r="G28" s="276"/>
      <c r="H28" s="276"/>
      <c r="I28" s="276"/>
      <c r="J28" s="277"/>
      <c r="K28" s="278" t="s">
        <v>63</v>
      </c>
      <c r="L28" s="279"/>
      <c r="M28" s="276" t="s">
        <v>8</v>
      </c>
      <c r="N28" s="276"/>
      <c r="O28" s="276"/>
      <c r="P28" s="280"/>
      <c r="Q28" s="359" t="s">
        <v>8</v>
      </c>
      <c r="R28" s="372" t="s">
        <v>171</v>
      </c>
      <c r="U28" s="795" t="s">
        <v>174</v>
      </c>
      <c r="V28" s="811"/>
      <c r="W28" s="811"/>
      <c r="X28" s="798"/>
    </row>
    <row r="29" spans="1:30" x14ac:dyDescent="0.35">
      <c r="A29" s="1072"/>
      <c r="B29" s="1018"/>
      <c r="C29" s="301">
        <v>23</v>
      </c>
      <c r="D29" s="25">
        <v>87.2</v>
      </c>
      <c r="E29" s="26">
        <f t="shared" si="1"/>
        <v>938.61207999999999</v>
      </c>
      <c r="F29" s="276" t="s">
        <v>8</v>
      </c>
      <c r="G29" s="276"/>
      <c r="H29" s="276"/>
      <c r="I29" s="276"/>
      <c r="J29" s="277"/>
      <c r="K29" s="278" t="s">
        <v>163</v>
      </c>
      <c r="L29" s="279"/>
      <c r="M29" s="276"/>
      <c r="N29" s="276" t="s">
        <v>8</v>
      </c>
      <c r="O29" s="276"/>
      <c r="P29" s="280"/>
      <c r="Q29" s="359"/>
      <c r="R29" s="371" t="s">
        <v>170</v>
      </c>
      <c r="U29" s="1118" t="s">
        <v>173</v>
      </c>
      <c r="V29" s="1135"/>
      <c r="W29" s="828" t="s">
        <v>69</v>
      </c>
      <c r="X29" s="829"/>
    </row>
    <row r="30" spans="1:30" x14ac:dyDescent="0.35">
      <c r="A30" s="1072"/>
      <c r="B30" s="1018"/>
      <c r="C30" s="979">
        <v>24</v>
      </c>
      <c r="D30" s="950">
        <v>159</v>
      </c>
      <c r="E30" s="952">
        <f t="shared" si="1"/>
        <v>1711.4601</v>
      </c>
      <c r="F30" s="944" t="s">
        <v>8</v>
      </c>
      <c r="G30" s="942"/>
      <c r="H30" s="942"/>
      <c r="I30" s="942"/>
      <c r="J30" s="964"/>
      <c r="K30" s="278" t="s">
        <v>63</v>
      </c>
      <c r="L30" s="966"/>
      <c r="M30" s="942"/>
      <c r="N30" s="942"/>
      <c r="O30" s="944" t="s">
        <v>8</v>
      </c>
      <c r="P30" s="954"/>
      <c r="Q30" s="956" t="s">
        <v>8</v>
      </c>
      <c r="R30" s="958" t="s">
        <v>171</v>
      </c>
      <c r="U30" s="818" t="s">
        <v>168</v>
      </c>
      <c r="V30" s="820"/>
      <c r="W30" s="847">
        <f>COUNTIF(R6:R363,"Single Storey")</f>
        <v>135</v>
      </c>
      <c r="X30" s="848"/>
    </row>
    <row r="31" spans="1:30" x14ac:dyDescent="0.35">
      <c r="A31" s="1072"/>
      <c r="B31" s="1018"/>
      <c r="C31" s="980"/>
      <c r="D31" s="951"/>
      <c r="E31" s="953"/>
      <c r="F31" s="945"/>
      <c r="G31" s="943"/>
      <c r="H31" s="943"/>
      <c r="I31" s="943"/>
      <c r="J31" s="965"/>
      <c r="K31" s="278" t="s">
        <v>163</v>
      </c>
      <c r="L31" s="967"/>
      <c r="M31" s="943"/>
      <c r="N31" s="943"/>
      <c r="O31" s="945"/>
      <c r="P31" s="955"/>
      <c r="Q31" s="957"/>
      <c r="R31" s="961"/>
      <c r="U31" s="809" t="s">
        <v>170</v>
      </c>
      <c r="V31" s="810"/>
      <c r="W31" s="805">
        <f>COUNTIF(R6:R363,"Two Storey's")</f>
        <v>99</v>
      </c>
      <c r="X31" s="806"/>
    </row>
    <row r="32" spans="1:30" x14ac:dyDescent="0.35">
      <c r="A32" s="1072"/>
      <c r="B32" s="1018"/>
      <c r="C32" s="301">
        <v>25</v>
      </c>
      <c r="D32" s="25">
        <v>71.5</v>
      </c>
      <c r="E32" s="26">
        <f t="shared" si="1"/>
        <v>769.61884999999995</v>
      </c>
      <c r="F32" s="276" t="s">
        <v>8</v>
      </c>
      <c r="G32" s="276"/>
      <c r="H32" s="276"/>
      <c r="I32" s="276"/>
      <c r="J32" s="277"/>
      <c r="K32" s="278" t="s">
        <v>65</v>
      </c>
      <c r="L32" s="279"/>
      <c r="M32" s="276" t="s">
        <v>8</v>
      </c>
      <c r="N32" s="276"/>
      <c r="O32" s="276"/>
      <c r="P32" s="280"/>
      <c r="Q32" s="361"/>
      <c r="R32" s="371" t="s">
        <v>170</v>
      </c>
      <c r="U32" s="803" t="s">
        <v>171</v>
      </c>
      <c r="V32" s="804"/>
      <c r="W32" s="805">
        <f>COUNTIF(R6:R363,"Three Storey's")</f>
        <v>77</v>
      </c>
      <c r="X32" s="806"/>
    </row>
    <row r="33" spans="1:24" ht="18" thickBot="1" x14ac:dyDescent="0.4">
      <c r="A33" s="1072"/>
      <c r="B33" s="1018" t="s">
        <v>20</v>
      </c>
      <c r="C33" s="301">
        <v>26</v>
      </c>
      <c r="D33" s="25">
        <v>77.599999999999994</v>
      </c>
      <c r="E33" s="26">
        <f t="shared" ref="E33:E55" si="2">SUM(D33*10.7639)</f>
        <v>835.27863999999988</v>
      </c>
      <c r="F33" s="276"/>
      <c r="G33" s="276"/>
      <c r="H33" s="276" t="s">
        <v>8</v>
      </c>
      <c r="I33" s="276"/>
      <c r="J33" s="277"/>
      <c r="K33" s="278" t="s">
        <v>63</v>
      </c>
      <c r="L33" s="279"/>
      <c r="M33" s="276" t="s">
        <v>8</v>
      </c>
      <c r="N33" s="276"/>
      <c r="O33" s="276"/>
      <c r="P33" s="280"/>
      <c r="Q33" s="359"/>
      <c r="R33" s="371" t="s">
        <v>170</v>
      </c>
      <c r="U33" s="799" t="s">
        <v>172</v>
      </c>
      <c r="V33" s="800"/>
      <c r="W33" s="813">
        <f>COUNTIF(R6:R363,"Four Storey's")</f>
        <v>6</v>
      </c>
      <c r="X33" s="814"/>
    </row>
    <row r="34" spans="1:24" ht="18" thickBot="1" x14ac:dyDescent="0.4">
      <c r="A34" s="1072"/>
      <c r="B34" s="1018"/>
      <c r="C34" s="301">
        <v>27</v>
      </c>
      <c r="D34" s="25">
        <v>77.2</v>
      </c>
      <c r="E34" s="26">
        <f t="shared" si="2"/>
        <v>830.97307999999998</v>
      </c>
      <c r="F34" s="276"/>
      <c r="G34" s="276"/>
      <c r="H34" s="276" t="s">
        <v>8</v>
      </c>
      <c r="I34" s="276"/>
      <c r="J34" s="277"/>
      <c r="K34" s="278" t="s">
        <v>63</v>
      </c>
      <c r="L34" s="279"/>
      <c r="M34" s="276" t="s">
        <v>8</v>
      </c>
      <c r="N34" s="276"/>
      <c r="O34" s="276"/>
      <c r="P34" s="280"/>
      <c r="Q34" s="359"/>
      <c r="R34" s="371" t="s">
        <v>170</v>
      </c>
      <c r="T34" s="312"/>
      <c r="U34" s="795" t="s">
        <v>52</v>
      </c>
      <c r="V34" s="796"/>
      <c r="W34" s="982">
        <f>SUM(W30:W33)</f>
        <v>317</v>
      </c>
      <c r="X34" s="825"/>
    </row>
    <row r="35" spans="1:24" x14ac:dyDescent="0.35">
      <c r="A35" s="1072"/>
      <c r="B35" s="1018"/>
      <c r="C35" s="301">
        <v>28</v>
      </c>
      <c r="D35" s="25">
        <v>97.1</v>
      </c>
      <c r="E35" s="26">
        <f t="shared" si="2"/>
        <v>1045.1746899999998</v>
      </c>
      <c r="F35" s="276" t="s">
        <v>8</v>
      </c>
      <c r="G35" s="276"/>
      <c r="H35" s="276"/>
      <c r="I35" s="276"/>
      <c r="J35" s="277"/>
      <c r="K35" s="278" t="s">
        <v>65</v>
      </c>
      <c r="L35" s="279"/>
      <c r="M35" s="276"/>
      <c r="N35" s="276" t="s">
        <v>8</v>
      </c>
      <c r="O35" s="276"/>
      <c r="P35" s="280"/>
      <c r="Q35" s="359"/>
      <c r="R35" s="371" t="s">
        <v>170</v>
      </c>
    </row>
    <row r="36" spans="1:24" x14ac:dyDescent="0.35">
      <c r="A36" s="1072"/>
      <c r="B36" s="1018"/>
      <c r="C36" s="301">
        <v>29</v>
      </c>
      <c r="D36" s="25">
        <v>94.7</v>
      </c>
      <c r="E36" s="26">
        <f t="shared" si="2"/>
        <v>1019.34133</v>
      </c>
      <c r="F36" s="276" t="s">
        <v>8</v>
      </c>
      <c r="G36" s="276"/>
      <c r="H36" s="276"/>
      <c r="I36" s="276"/>
      <c r="J36" s="277"/>
      <c r="K36" s="278" t="s">
        <v>63</v>
      </c>
      <c r="L36" s="279"/>
      <c r="M36" s="276"/>
      <c r="N36" s="276" t="s">
        <v>8</v>
      </c>
      <c r="O36" s="276"/>
      <c r="P36" s="280"/>
      <c r="Q36" s="359"/>
      <c r="R36" s="372" t="s">
        <v>171</v>
      </c>
      <c r="T36" s="2" t="s">
        <v>180</v>
      </c>
    </row>
    <row r="37" spans="1:24" x14ac:dyDescent="0.35">
      <c r="A37" s="1072"/>
      <c r="B37" s="1018"/>
      <c r="C37" s="301">
        <v>30</v>
      </c>
      <c r="D37" s="25">
        <v>94.3</v>
      </c>
      <c r="E37" s="26">
        <f t="shared" si="2"/>
        <v>1015.03577</v>
      </c>
      <c r="F37" s="276" t="s">
        <v>8</v>
      </c>
      <c r="G37" s="276"/>
      <c r="H37" s="276"/>
      <c r="I37" s="276"/>
      <c r="J37" s="277"/>
      <c r="K37" s="278" t="s">
        <v>63</v>
      </c>
      <c r="L37" s="279"/>
      <c r="M37" s="276"/>
      <c r="N37" s="276" t="s">
        <v>8</v>
      </c>
      <c r="O37" s="276"/>
      <c r="P37" s="280"/>
      <c r="Q37" s="360"/>
      <c r="R37" s="372" t="s">
        <v>171</v>
      </c>
      <c r="U37" s="2" t="s">
        <v>184</v>
      </c>
    </row>
    <row r="38" spans="1:24" x14ac:dyDescent="0.35">
      <c r="A38" s="1072"/>
      <c r="B38" s="1018"/>
      <c r="C38" s="301">
        <v>31</v>
      </c>
      <c r="D38" s="25">
        <v>107.5</v>
      </c>
      <c r="E38" s="26">
        <f t="shared" si="2"/>
        <v>1157.11925</v>
      </c>
      <c r="F38" s="276"/>
      <c r="G38" s="276"/>
      <c r="H38" s="276" t="s">
        <v>8</v>
      </c>
      <c r="I38" s="276"/>
      <c r="J38" s="277"/>
      <c r="K38" s="278" t="s">
        <v>66</v>
      </c>
      <c r="L38" s="279"/>
      <c r="M38" s="276"/>
      <c r="N38" s="276" t="s">
        <v>8</v>
      </c>
      <c r="O38" s="276"/>
      <c r="P38" s="280"/>
      <c r="Q38" s="361"/>
      <c r="R38" s="371" t="s">
        <v>170</v>
      </c>
      <c r="U38" s="2" t="s">
        <v>183</v>
      </c>
    </row>
    <row r="39" spans="1:24" x14ac:dyDescent="0.35">
      <c r="A39" s="1072"/>
      <c r="B39" s="1018"/>
      <c r="C39" s="301">
        <v>32</v>
      </c>
      <c r="D39" s="25">
        <v>91.7</v>
      </c>
      <c r="E39" s="26">
        <f t="shared" si="2"/>
        <v>987.04962999999998</v>
      </c>
      <c r="F39" s="276" t="s">
        <v>8</v>
      </c>
      <c r="G39" s="276"/>
      <c r="H39" s="276"/>
      <c r="I39" s="276"/>
      <c r="J39" s="277"/>
      <c r="K39" s="278" t="s">
        <v>163</v>
      </c>
      <c r="L39" s="279"/>
      <c r="M39" s="276"/>
      <c r="N39" s="276" t="s">
        <v>8</v>
      </c>
      <c r="O39" s="276"/>
      <c r="P39" s="280"/>
      <c r="Q39" s="359"/>
      <c r="R39" s="372" t="s">
        <v>171</v>
      </c>
      <c r="U39" s="2" t="s">
        <v>194</v>
      </c>
    </row>
    <row r="40" spans="1:24" x14ac:dyDescent="0.35">
      <c r="A40" s="1072"/>
      <c r="B40" s="1018"/>
      <c r="C40" s="301">
        <v>33</v>
      </c>
      <c r="D40" s="25">
        <v>75.3</v>
      </c>
      <c r="E40" s="26">
        <f t="shared" si="2"/>
        <v>810.52166999999997</v>
      </c>
      <c r="F40" s="276" t="s">
        <v>8</v>
      </c>
      <c r="G40" s="276"/>
      <c r="H40" s="276"/>
      <c r="I40" s="276"/>
      <c r="J40" s="277"/>
      <c r="K40" s="278" t="s">
        <v>163</v>
      </c>
      <c r="L40" s="279"/>
      <c r="M40" s="276" t="s">
        <v>8</v>
      </c>
      <c r="N40" s="276"/>
      <c r="O40" s="276"/>
      <c r="P40" s="280"/>
      <c r="Q40" s="359"/>
      <c r="R40" s="372" t="s">
        <v>171</v>
      </c>
    </row>
    <row r="41" spans="1:24" x14ac:dyDescent="0.35">
      <c r="A41" s="1072"/>
      <c r="B41" s="1018"/>
      <c r="C41" s="301">
        <v>34</v>
      </c>
      <c r="D41" s="25">
        <v>75.3</v>
      </c>
      <c r="E41" s="26">
        <f t="shared" si="2"/>
        <v>810.52166999999997</v>
      </c>
      <c r="F41" s="276" t="s">
        <v>8</v>
      </c>
      <c r="G41" s="276"/>
      <c r="H41" s="276"/>
      <c r="I41" s="276"/>
      <c r="J41" s="277"/>
      <c r="K41" s="278" t="s">
        <v>64</v>
      </c>
      <c r="L41" s="279"/>
      <c r="M41" s="276" t="s">
        <v>8</v>
      </c>
      <c r="N41" s="276"/>
      <c r="O41" s="276"/>
      <c r="P41" s="280"/>
      <c r="Q41" s="361"/>
      <c r="R41" s="372" t="s">
        <v>171</v>
      </c>
      <c r="T41" s="2" t="s">
        <v>181</v>
      </c>
    </row>
    <row r="42" spans="1:24" x14ac:dyDescent="0.35">
      <c r="A42" s="1072"/>
      <c r="B42" s="1018"/>
      <c r="C42" s="301">
        <v>35</v>
      </c>
      <c r="D42" s="25">
        <v>128.5</v>
      </c>
      <c r="E42" s="26">
        <f t="shared" si="2"/>
        <v>1383.1611499999999</v>
      </c>
      <c r="F42" s="276" t="s">
        <v>8</v>
      </c>
      <c r="G42" s="276"/>
      <c r="H42" s="276"/>
      <c r="I42" s="276"/>
      <c r="J42" s="277"/>
      <c r="K42" s="278" t="s">
        <v>163</v>
      </c>
      <c r="L42" s="279"/>
      <c r="M42" s="276"/>
      <c r="N42" s="276"/>
      <c r="O42" s="276" t="s">
        <v>8</v>
      </c>
      <c r="P42" s="280"/>
      <c r="Q42" s="359" t="s">
        <v>8</v>
      </c>
      <c r="R42" s="372" t="s">
        <v>172</v>
      </c>
      <c r="U42" s="2" t="s">
        <v>184</v>
      </c>
    </row>
    <row r="43" spans="1:24" x14ac:dyDescent="0.35">
      <c r="A43" s="1072"/>
      <c r="B43" s="1018"/>
      <c r="C43" s="301">
        <v>36</v>
      </c>
      <c r="D43" s="25">
        <v>102.5</v>
      </c>
      <c r="E43" s="26">
        <f t="shared" si="2"/>
        <v>1103.2997499999999</v>
      </c>
      <c r="F43" s="276" t="s">
        <v>8</v>
      </c>
      <c r="G43" s="276"/>
      <c r="H43" s="276"/>
      <c r="I43" s="276"/>
      <c r="J43" s="277"/>
      <c r="K43" s="278" t="s">
        <v>67</v>
      </c>
      <c r="L43" s="279"/>
      <c r="M43" s="276"/>
      <c r="N43" s="276" t="s">
        <v>8</v>
      </c>
      <c r="O43" s="276"/>
      <c r="P43" s="280"/>
      <c r="Q43" s="361" t="s">
        <v>8</v>
      </c>
      <c r="R43" s="372" t="s">
        <v>171</v>
      </c>
      <c r="U43" s="2" t="s">
        <v>183</v>
      </c>
    </row>
    <row r="44" spans="1:24" x14ac:dyDescent="0.35">
      <c r="A44" s="1072"/>
      <c r="B44" s="1018"/>
      <c r="C44" s="979">
        <v>37</v>
      </c>
      <c r="D44" s="950">
        <v>116.7</v>
      </c>
      <c r="E44" s="952">
        <f t="shared" si="2"/>
        <v>1256.1471300000001</v>
      </c>
      <c r="F44" s="944" t="s">
        <v>8</v>
      </c>
      <c r="G44" s="942"/>
      <c r="H44" s="942"/>
      <c r="I44" s="942"/>
      <c r="J44" s="964"/>
      <c r="K44" s="278" t="s">
        <v>67</v>
      </c>
      <c r="L44" s="966"/>
      <c r="M44" s="942"/>
      <c r="N44" s="944" t="s">
        <v>8</v>
      </c>
      <c r="O44" s="944"/>
      <c r="P44" s="954"/>
      <c r="Q44" s="956" t="s">
        <v>8</v>
      </c>
      <c r="R44" s="958" t="s">
        <v>171</v>
      </c>
      <c r="U44" s="2" t="s">
        <v>193</v>
      </c>
    </row>
    <row r="45" spans="1:24" x14ac:dyDescent="0.35">
      <c r="A45" s="1072"/>
      <c r="B45" s="1018"/>
      <c r="C45" s="980"/>
      <c r="D45" s="951"/>
      <c r="E45" s="953"/>
      <c r="F45" s="945"/>
      <c r="G45" s="943"/>
      <c r="H45" s="943"/>
      <c r="I45" s="943"/>
      <c r="J45" s="965"/>
      <c r="K45" s="278" t="s">
        <v>63</v>
      </c>
      <c r="L45" s="967"/>
      <c r="M45" s="943"/>
      <c r="N45" s="945"/>
      <c r="O45" s="945"/>
      <c r="P45" s="955"/>
      <c r="Q45" s="960"/>
      <c r="R45" s="959"/>
      <c r="U45" s="2" t="s">
        <v>182</v>
      </c>
    </row>
    <row r="46" spans="1:24" x14ac:dyDescent="0.35">
      <c r="A46" s="1072"/>
      <c r="B46" s="1018"/>
      <c r="C46" s="517">
        <v>38</v>
      </c>
      <c r="D46" s="25">
        <v>39</v>
      </c>
      <c r="E46" s="26">
        <f t="shared" si="2"/>
        <v>419.7921</v>
      </c>
      <c r="F46" s="276"/>
      <c r="G46" s="276"/>
      <c r="H46" s="521" t="s">
        <v>8</v>
      </c>
      <c r="I46" s="276"/>
      <c r="J46" s="277"/>
      <c r="K46" s="278" t="s">
        <v>64</v>
      </c>
      <c r="L46" s="279" t="s">
        <v>8</v>
      </c>
      <c r="M46" s="276"/>
      <c r="N46" s="276"/>
      <c r="O46" s="276"/>
      <c r="P46" s="280"/>
      <c r="Q46" s="359"/>
      <c r="R46" s="372" t="s">
        <v>168</v>
      </c>
      <c r="S46" s="2" t="s">
        <v>8</v>
      </c>
    </row>
    <row r="47" spans="1:24" x14ac:dyDescent="0.35">
      <c r="A47" s="1072"/>
      <c r="B47" s="1018"/>
      <c r="C47" s="301">
        <v>39</v>
      </c>
      <c r="D47" s="25">
        <v>76.8</v>
      </c>
      <c r="E47" s="26">
        <f t="shared" si="2"/>
        <v>826.66751999999997</v>
      </c>
      <c r="F47" s="276"/>
      <c r="G47" s="276"/>
      <c r="H47" s="276" t="s">
        <v>8</v>
      </c>
      <c r="I47" s="276"/>
      <c r="J47" s="277"/>
      <c r="K47" s="278" t="s">
        <v>63</v>
      </c>
      <c r="L47" s="279"/>
      <c r="M47" s="276"/>
      <c r="N47" s="276" t="s">
        <v>8</v>
      </c>
      <c r="O47" s="276"/>
      <c r="P47" s="280"/>
      <c r="Q47" s="360"/>
      <c r="R47" s="371" t="s">
        <v>170</v>
      </c>
    </row>
    <row r="48" spans="1:24" x14ac:dyDescent="0.35">
      <c r="A48" s="1072"/>
      <c r="B48" s="1018"/>
      <c r="C48" s="301">
        <v>40</v>
      </c>
      <c r="D48" s="25">
        <v>93.9</v>
      </c>
      <c r="E48" s="26">
        <f t="shared" si="2"/>
        <v>1010.7302100000001</v>
      </c>
      <c r="F48" s="276" t="s">
        <v>8</v>
      </c>
      <c r="G48" s="276"/>
      <c r="H48" s="276"/>
      <c r="I48" s="276"/>
      <c r="J48" s="277"/>
      <c r="K48" s="278" t="s">
        <v>63</v>
      </c>
      <c r="L48" s="279"/>
      <c r="M48" s="276"/>
      <c r="N48" s="276" t="s">
        <v>8</v>
      </c>
      <c r="O48" s="276"/>
      <c r="P48" s="280"/>
      <c r="Q48" s="361"/>
      <c r="R48" s="372" t="s">
        <v>171</v>
      </c>
      <c r="T48" s="2" t="s">
        <v>186</v>
      </c>
    </row>
    <row r="49" spans="1:21" x14ac:dyDescent="0.35">
      <c r="A49" s="1072"/>
      <c r="B49" s="1018"/>
      <c r="C49" s="301">
        <v>41</v>
      </c>
      <c r="D49" s="25">
        <v>84.1</v>
      </c>
      <c r="E49" s="26">
        <f t="shared" si="2"/>
        <v>905.24398999999994</v>
      </c>
      <c r="F49" s="276"/>
      <c r="G49" s="276"/>
      <c r="H49" s="276" t="s">
        <v>8</v>
      </c>
      <c r="I49" s="276"/>
      <c r="J49" s="277"/>
      <c r="K49" s="278" t="s">
        <v>63</v>
      </c>
      <c r="L49" s="279"/>
      <c r="M49" s="276" t="s">
        <v>8</v>
      </c>
      <c r="N49" s="276"/>
      <c r="O49" s="276"/>
      <c r="P49" s="280"/>
      <c r="Q49" s="359"/>
      <c r="R49" s="372" t="s">
        <v>171</v>
      </c>
      <c r="U49" s="2" t="s">
        <v>185</v>
      </c>
    </row>
    <row r="50" spans="1:21" x14ac:dyDescent="0.35">
      <c r="A50" s="1072"/>
      <c r="B50" s="1018"/>
      <c r="C50" s="301">
        <v>42</v>
      </c>
      <c r="D50" s="25">
        <v>111.6</v>
      </c>
      <c r="E50" s="26">
        <f t="shared" si="2"/>
        <v>1201.2512399999998</v>
      </c>
      <c r="F50" s="276"/>
      <c r="G50" s="276"/>
      <c r="H50" s="276" t="s">
        <v>8</v>
      </c>
      <c r="I50" s="276"/>
      <c r="J50" s="277"/>
      <c r="K50" s="278" t="s">
        <v>65</v>
      </c>
      <c r="L50" s="279"/>
      <c r="M50" s="276"/>
      <c r="N50" s="276" t="s">
        <v>8</v>
      </c>
      <c r="O50" s="276"/>
      <c r="P50" s="280"/>
      <c r="Q50" s="359"/>
      <c r="R50" s="371" t="s">
        <v>170</v>
      </c>
      <c r="U50" s="2" t="s">
        <v>192</v>
      </c>
    </row>
    <row r="51" spans="1:21" x14ac:dyDescent="0.35">
      <c r="A51" s="1072"/>
      <c r="B51" s="1015" t="s">
        <v>23</v>
      </c>
      <c r="C51" s="301">
        <v>43</v>
      </c>
      <c r="D51" s="25">
        <v>46.9</v>
      </c>
      <c r="E51" s="26">
        <f t="shared" si="2"/>
        <v>504.82690999999994</v>
      </c>
      <c r="F51" s="276"/>
      <c r="G51" s="276"/>
      <c r="H51" s="276" t="s">
        <v>8</v>
      </c>
      <c r="I51" s="276"/>
      <c r="J51" s="277"/>
      <c r="K51" s="278" t="s">
        <v>65</v>
      </c>
      <c r="L51" s="279" t="s">
        <v>8</v>
      </c>
      <c r="M51" s="276"/>
      <c r="N51" s="276"/>
      <c r="O51" s="276"/>
      <c r="P51" s="280"/>
      <c r="Q51" s="359"/>
      <c r="R51" s="372" t="s">
        <v>168</v>
      </c>
      <c r="U51" s="2" t="s">
        <v>189</v>
      </c>
    </row>
    <row r="52" spans="1:21" x14ac:dyDescent="0.35">
      <c r="A52" s="1072"/>
      <c r="B52" s="1016"/>
      <c r="C52" s="301">
        <v>44</v>
      </c>
      <c r="D52" s="25">
        <v>107.6</v>
      </c>
      <c r="E52" s="26">
        <f t="shared" si="2"/>
        <v>1158.1956399999999</v>
      </c>
      <c r="F52" s="276"/>
      <c r="G52" s="276"/>
      <c r="H52" s="276" t="s">
        <v>8</v>
      </c>
      <c r="I52" s="276"/>
      <c r="J52" s="277"/>
      <c r="K52" s="278" t="s">
        <v>65</v>
      </c>
      <c r="L52" s="279"/>
      <c r="M52" s="276"/>
      <c r="N52" s="276" t="s">
        <v>8</v>
      </c>
      <c r="O52" s="276"/>
      <c r="P52" s="280"/>
      <c r="Q52" s="359"/>
      <c r="R52" s="371" t="s">
        <v>170</v>
      </c>
    </row>
    <row r="53" spans="1:21" x14ac:dyDescent="0.35">
      <c r="A53" s="1072"/>
      <c r="B53" s="1016"/>
      <c r="C53" s="517">
        <v>45</v>
      </c>
      <c r="D53" s="25">
        <v>38.5</v>
      </c>
      <c r="E53" s="26">
        <f t="shared" si="2"/>
        <v>414.41014999999999</v>
      </c>
      <c r="F53" s="276"/>
      <c r="G53" s="276"/>
      <c r="H53" s="521" t="s">
        <v>8</v>
      </c>
      <c r="I53" s="276"/>
      <c r="J53" s="277"/>
      <c r="K53" s="278" t="s">
        <v>65</v>
      </c>
      <c r="L53" s="279" t="s">
        <v>8</v>
      </c>
      <c r="M53" s="276"/>
      <c r="N53" s="276"/>
      <c r="O53" s="276"/>
      <c r="P53" s="280"/>
      <c r="Q53" s="359"/>
      <c r="R53" s="372" t="s">
        <v>168</v>
      </c>
      <c r="S53" s="2" t="s">
        <v>8</v>
      </c>
      <c r="T53" s="2" t="s">
        <v>188</v>
      </c>
    </row>
    <row r="54" spans="1:21" x14ac:dyDescent="0.35">
      <c r="A54" s="1072"/>
      <c r="B54" s="1016"/>
      <c r="C54" s="301">
        <v>46</v>
      </c>
      <c r="D54" s="25">
        <v>75.3</v>
      </c>
      <c r="E54" s="26">
        <f>SUM(D54*10.7639)</f>
        <v>810.52166999999997</v>
      </c>
      <c r="F54" s="276"/>
      <c r="G54" s="276"/>
      <c r="H54" s="276" t="s">
        <v>8</v>
      </c>
      <c r="I54" s="276"/>
      <c r="J54" s="277"/>
      <c r="K54" s="278" t="s">
        <v>65</v>
      </c>
      <c r="L54" s="279"/>
      <c r="M54" s="276" t="s">
        <v>8</v>
      </c>
      <c r="N54" s="276"/>
      <c r="O54" s="276"/>
      <c r="P54" s="280"/>
      <c r="Q54" s="359"/>
      <c r="R54" s="371" t="s">
        <v>170</v>
      </c>
      <c r="U54" s="2" t="s">
        <v>185</v>
      </c>
    </row>
    <row r="55" spans="1:21" x14ac:dyDescent="0.35">
      <c r="A55" s="1072"/>
      <c r="B55" s="1016"/>
      <c r="C55" s="301">
        <v>47</v>
      </c>
      <c r="D55" s="25">
        <v>94.3</v>
      </c>
      <c r="E55" s="26">
        <f t="shared" si="2"/>
        <v>1015.03577</v>
      </c>
      <c r="F55" s="276"/>
      <c r="G55" s="276"/>
      <c r="H55" s="276" t="s">
        <v>8</v>
      </c>
      <c r="I55" s="276"/>
      <c r="J55" s="277"/>
      <c r="K55" s="278" t="s">
        <v>65</v>
      </c>
      <c r="L55" s="279"/>
      <c r="M55" s="276"/>
      <c r="N55" s="276" t="s">
        <v>8</v>
      </c>
      <c r="O55" s="276"/>
      <c r="P55" s="280"/>
      <c r="Q55" s="359"/>
      <c r="R55" s="371" t="s">
        <v>170</v>
      </c>
      <c r="U55" s="2" t="s">
        <v>192</v>
      </c>
    </row>
    <row r="56" spans="1:21" x14ac:dyDescent="0.35">
      <c r="A56" s="1072"/>
      <c r="B56" s="1016"/>
      <c r="C56" s="301">
        <v>48</v>
      </c>
      <c r="D56" s="25">
        <v>107.5</v>
      </c>
      <c r="E56" s="26">
        <f t="shared" ref="E56:E84" si="3">SUM(D56*10.7639)</f>
        <v>1157.11925</v>
      </c>
      <c r="F56" s="276" t="s">
        <v>8</v>
      </c>
      <c r="G56" s="276"/>
      <c r="H56" s="276"/>
      <c r="I56" s="276"/>
      <c r="J56" s="277"/>
      <c r="K56" s="278" t="s">
        <v>63</v>
      </c>
      <c r="L56" s="279"/>
      <c r="M56" s="276" t="s">
        <v>8</v>
      </c>
      <c r="N56" s="276"/>
      <c r="O56" s="276"/>
      <c r="P56" s="280"/>
      <c r="Q56" s="359" t="s">
        <v>8</v>
      </c>
      <c r="R56" s="372" t="s">
        <v>171</v>
      </c>
      <c r="U56" s="2" t="s">
        <v>187</v>
      </c>
    </row>
    <row r="57" spans="1:21" x14ac:dyDescent="0.35">
      <c r="A57" s="1072"/>
      <c r="B57" s="1016"/>
      <c r="C57" s="301">
        <v>49</v>
      </c>
      <c r="D57" s="25">
        <v>105.1</v>
      </c>
      <c r="E57" s="26">
        <f t="shared" si="3"/>
        <v>1131.2858899999999</v>
      </c>
      <c r="F57" s="276" t="s">
        <v>8</v>
      </c>
      <c r="G57" s="276"/>
      <c r="H57" s="276"/>
      <c r="I57" s="276"/>
      <c r="J57" s="277"/>
      <c r="K57" s="278" t="s">
        <v>63</v>
      </c>
      <c r="L57" s="279"/>
      <c r="M57" s="276"/>
      <c r="N57" s="276" t="s">
        <v>8</v>
      </c>
      <c r="O57" s="276"/>
      <c r="P57" s="280"/>
      <c r="Q57" s="359"/>
      <c r="R57" s="372" t="s">
        <v>171</v>
      </c>
    </row>
    <row r="58" spans="1:21" x14ac:dyDescent="0.35">
      <c r="A58" s="1072"/>
      <c r="B58" s="1016"/>
      <c r="C58" s="301">
        <v>50</v>
      </c>
      <c r="D58" s="25">
        <v>129</v>
      </c>
      <c r="E58" s="26">
        <f t="shared" si="3"/>
        <v>1388.5430999999999</v>
      </c>
      <c r="F58" s="276" t="s">
        <v>8</v>
      </c>
      <c r="G58" s="276"/>
      <c r="H58" s="276"/>
      <c r="I58" s="276"/>
      <c r="J58" s="277"/>
      <c r="K58" s="278" t="s">
        <v>63</v>
      </c>
      <c r="L58" s="279"/>
      <c r="M58" s="276"/>
      <c r="N58" s="276"/>
      <c r="O58" s="276" t="s">
        <v>8</v>
      </c>
      <c r="P58" s="280"/>
      <c r="Q58" s="361"/>
      <c r="R58" s="372" t="s">
        <v>171</v>
      </c>
      <c r="T58" s="2" t="s">
        <v>195</v>
      </c>
    </row>
    <row r="59" spans="1:21" x14ac:dyDescent="0.35">
      <c r="A59" s="1072"/>
      <c r="B59" s="1016"/>
      <c r="C59" s="301">
        <v>51</v>
      </c>
      <c r="D59" s="25">
        <v>101.3</v>
      </c>
      <c r="E59" s="26">
        <f t="shared" si="3"/>
        <v>1090.3830699999999</v>
      </c>
      <c r="F59" s="276" t="s">
        <v>8</v>
      </c>
      <c r="G59" s="276"/>
      <c r="H59" s="276"/>
      <c r="I59" s="276"/>
      <c r="J59" s="277"/>
      <c r="K59" s="278" t="s">
        <v>67</v>
      </c>
      <c r="L59" s="279"/>
      <c r="M59" s="276"/>
      <c r="N59" s="276" t="s">
        <v>8</v>
      </c>
      <c r="O59" s="276"/>
      <c r="P59" s="280"/>
      <c r="Q59" s="359"/>
      <c r="R59" s="372" t="s">
        <v>171</v>
      </c>
      <c r="U59" s="2" t="s">
        <v>191</v>
      </c>
    </row>
    <row r="60" spans="1:21" x14ac:dyDescent="0.35">
      <c r="A60" s="1072"/>
      <c r="B60" s="1016"/>
      <c r="C60" s="301">
        <v>52</v>
      </c>
      <c r="D60" s="25">
        <v>84.8</v>
      </c>
      <c r="E60" s="26">
        <f t="shared" si="3"/>
        <v>912.77871999999991</v>
      </c>
      <c r="F60" s="276" t="s">
        <v>8</v>
      </c>
      <c r="G60" s="276"/>
      <c r="H60" s="276"/>
      <c r="I60" s="276"/>
      <c r="J60" s="277"/>
      <c r="K60" s="278" t="s">
        <v>164</v>
      </c>
      <c r="L60" s="279"/>
      <c r="M60" s="276" t="s">
        <v>8</v>
      </c>
      <c r="N60" s="276"/>
      <c r="O60" s="276"/>
      <c r="P60" s="280"/>
      <c r="Q60" s="360"/>
      <c r="R60" s="371" t="s">
        <v>170</v>
      </c>
      <c r="U60" s="2" t="s">
        <v>192</v>
      </c>
    </row>
    <row r="61" spans="1:21" x14ac:dyDescent="0.35">
      <c r="A61" s="1072"/>
      <c r="B61" s="1016"/>
      <c r="C61" s="301">
        <v>53</v>
      </c>
      <c r="D61" s="25">
        <v>127.7</v>
      </c>
      <c r="E61" s="26">
        <f t="shared" si="3"/>
        <v>1374.5500299999999</v>
      </c>
      <c r="F61" s="276" t="s">
        <v>8</v>
      </c>
      <c r="G61" s="276"/>
      <c r="H61" s="276"/>
      <c r="I61" s="276"/>
      <c r="J61" s="277"/>
      <c r="K61" s="278" t="s">
        <v>164</v>
      </c>
      <c r="L61" s="279"/>
      <c r="M61" s="276"/>
      <c r="N61" s="276"/>
      <c r="O61" s="276" t="s">
        <v>8</v>
      </c>
      <c r="P61" s="280"/>
      <c r="Q61" s="360"/>
      <c r="R61" s="372" t="s">
        <v>171</v>
      </c>
      <c r="U61" s="2" t="s">
        <v>189</v>
      </c>
    </row>
    <row r="62" spans="1:21" x14ac:dyDescent="0.35">
      <c r="A62" s="1072"/>
      <c r="B62" s="1016"/>
      <c r="C62" s="301">
        <v>54</v>
      </c>
      <c r="D62" s="25">
        <v>109.2</v>
      </c>
      <c r="E62" s="26">
        <f t="shared" si="3"/>
        <v>1175.41788</v>
      </c>
      <c r="F62" s="276" t="s">
        <v>8</v>
      </c>
      <c r="G62" s="276"/>
      <c r="H62" s="276"/>
      <c r="I62" s="276"/>
      <c r="J62" s="277"/>
      <c r="K62" s="278" t="s">
        <v>164</v>
      </c>
      <c r="L62" s="279"/>
      <c r="M62" s="276"/>
      <c r="N62" s="276"/>
      <c r="O62" s="276" t="s">
        <v>8</v>
      </c>
      <c r="P62" s="280"/>
      <c r="Q62" s="361"/>
      <c r="R62" s="372" t="s">
        <v>171</v>
      </c>
    </row>
    <row r="63" spans="1:21" x14ac:dyDescent="0.35">
      <c r="A63" s="1072"/>
      <c r="B63" s="1016"/>
      <c r="C63" s="301">
        <v>55</v>
      </c>
      <c r="D63" s="25">
        <v>100.8</v>
      </c>
      <c r="E63" s="26">
        <f t="shared" si="3"/>
        <v>1085.0011199999999</v>
      </c>
      <c r="F63" s="276" t="s">
        <v>8</v>
      </c>
      <c r="G63" s="276"/>
      <c r="H63" s="276"/>
      <c r="I63" s="276"/>
      <c r="J63" s="277"/>
      <c r="K63" s="278" t="s">
        <v>63</v>
      </c>
      <c r="L63" s="279"/>
      <c r="M63" s="276"/>
      <c r="N63" s="276" t="s">
        <v>8</v>
      </c>
      <c r="O63" s="276"/>
      <c r="P63" s="280"/>
      <c r="Q63" s="359" t="s">
        <v>8</v>
      </c>
      <c r="R63" s="372" t="s">
        <v>171</v>
      </c>
      <c r="T63" s="2" t="s">
        <v>190</v>
      </c>
    </row>
    <row r="64" spans="1:21" x14ac:dyDescent="0.35">
      <c r="A64" s="1072"/>
      <c r="B64" s="1016"/>
      <c r="C64" s="301">
        <v>56</v>
      </c>
      <c r="D64" s="25">
        <v>97.1</v>
      </c>
      <c r="E64" s="26">
        <f t="shared" si="3"/>
        <v>1045.1746899999998</v>
      </c>
      <c r="F64" s="276" t="s">
        <v>8</v>
      </c>
      <c r="G64" s="276"/>
      <c r="H64" s="276"/>
      <c r="I64" s="276"/>
      <c r="J64" s="277"/>
      <c r="K64" s="278" t="s">
        <v>63</v>
      </c>
      <c r="L64" s="279"/>
      <c r="M64" s="276"/>
      <c r="N64" s="276" t="s">
        <v>8</v>
      </c>
      <c r="O64" s="276"/>
      <c r="P64" s="280"/>
      <c r="Q64" s="359"/>
      <c r="R64" s="372" t="s">
        <v>171</v>
      </c>
      <c r="U64" s="2" t="s">
        <v>191</v>
      </c>
    </row>
    <row r="65" spans="1:30" x14ac:dyDescent="0.35">
      <c r="A65" s="1072"/>
      <c r="B65" s="1016"/>
      <c r="C65" s="301">
        <v>57</v>
      </c>
      <c r="D65" s="25">
        <v>97.1</v>
      </c>
      <c r="E65" s="26">
        <f t="shared" si="3"/>
        <v>1045.1746899999998</v>
      </c>
      <c r="F65" s="276" t="s">
        <v>8</v>
      </c>
      <c r="G65" s="276"/>
      <c r="H65" s="276"/>
      <c r="I65" s="276"/>
      <c r="J65" s="277"/>
      <c r="K65" s="278" t="s">
        <v>63</v>
      </c>
      <c r="L65" s="279"/>
      <c r="M65" s="276"/>
      <c r="N65" s="276" t="s">
        <v>8</v>
      </c>
      <c r="O65" s="276"/>
      <c r="P65" s="280"/>
      <c r="Q65" s="359"/>
      <c r="R65" s="372" t="s">
        <v>171</v>
      </c>
      <c r="U65" s="2" t="s">
        <v>192</v>
      </c>
    </row>
    <row r="66" spans="1:30" x14ac:dyDescent="0.35">
      <c r="A66" s="1072"/>
      <c r="B66" s="1016"/>
      <c r="C66" s="301">
        <v>58</v>
      </c>
      <c r="D66" s="25">
        <v>105.6</v>
      </c>
      <c r="E66" s="26">
        <f t="shared" si="3"/>
        <v>1136.6678399999998</v>
      </c>
      <c r="F66" s="276"/>
      <c r="G66" s="276"/>
      <c r="H66" s="276" t="s">
        <v>8</v>
      </c>
      <c r="I66" s="276"/>
      <c r="J66" s="277"/>
      <c r="K66" s="278" t="s">
        <v>65</v>
      </c>
      <c r="L66" s="279"/>
      <c r="M66" s="276"/>
      <c r="N66" s="276" t="s">
        <v>8</v>
      </c>
      <c r="O66" s="276"/>
      <c r="P66" s="280"/>
      <c r="Q66" s="361"/>
      <c r="R66" s="371" t="s">
        <v>170</v>
      </c>
      <c r="U66" s="2" t="s">
        <v>187</v>
      </c>
    </row>
    <row r="67" spans="1:30" x14ac:dyDescent="0.35">
      <c r="A67" s="1072"/>
      <c r="B67" s="1016"/>
      <c r="C67" s="301">
        <v>59</v>
      </c>
      <c r="D67" s="25">
        <v>96</v>
      </c>
      <c r="E67" s="26">
        <f t="shared" si="3"/>
        <v>1033.3344</v>
      </c>
      <c r="F67" s="276"/>
      <c r="G67" s="276"/>
      <c r="H67" s="276" t="s">
        <v>8</v>
      </c>
      <c r="I67" s="276"/>
      <c r="J67" s="277"/>
      <c r="K67" s="278" t="s">
        <v>65</v>
      </c>
      <c r="L67" s="279"/>
      <c r="M67" s="276"/>
      <c r="N67" s="276" t="s">
        <v>8</v>
      </c>
      <c r="O67" s="276"/>
      <c r="P67" s="280"/>
      <c r="Q67" s="359"/>
      <c r="R67" s="371" t="s">
        <v>170</v>
      </c>
    </row>
    <row r="68" spans="1:30" x14ac:dyDescent="0.35">
      <c r="A68" s="1072"/>
      <c r="B68" s="1016"/>
      <c r="C68" s="301">
        <v>60</v>
      </c>
      <c r="D68" s="25">
        <v>106</v>
      </c>
      <c r="E68" s="26">
        <f t="shared" si="3"/>
        <v>1140.9733999999999</v>
      </c>
      <c r="F68" s="276" t="s">
        <v>8</v>
      </c>
      <c r="G68" s="276"/>
      <c r="H68" s="276"/>
      <c r="I68" s="276"/>
      <c r="J68" s="277"/>
      <c r="K68" s="278" t="s">
        <v>64</v>
      </c>
      <c r="L68" s="279"/>
      <c r="M68" s="276" t="s">
        <v>8</v>
      </c>
      <c r="N68" s="276"/>
      <c r="O68" s="276"/>
      <c r="P68" s="280"/>
      <c r="Q68" s="361"/>
      <c r="R68" s="372" t="s">
        <v>172</v>
      </c>
    </row>
    <row r="69" spans="1:30" ht="18" thickBot="1" x14ac:dyDescent="0.4">
      <c r="A69" s="1072"/>
      <c r="B69" s="1016"/>
      <c r="C69" s="301">
        <v>61</v>
      </c>
      <c r="D69" s="25">
        <v>96.7</v>
      </c>
      <c r="E69" s="26">
        <f t="shared" si="3"/>
        <v>1040.86913</v>
      </c>
      <c r="F69" s="276"/>
      <c r="G69" s="276"/>
      <c r="H69" s="276" t="s">
        <v>8</v>
      </c>
      <c r="I69" s="276"/>
      <c r="J69" s="277"/>
      <c r="K69" s="278" t="s">
        <v>65</v>
      </c>
      <c r="L69" s="279"/>
      <c r="M69" s="276"/>
      <c r="N69" s="276" t="s">
        <v>8</v>
      </c>
      <c r="O69" s="276"/>
      <c r="P69" s="280"/>
      <c r="Q69" s="359"/>
      <c r="R69" s="371" t="s">
        <v>170</v>
      </c>
      <c r="V69" s="314"/>
      <c r="W69" s="314"/>
      <c r="X69" s="314"/>
      <c r="Y69" s="314"/>
    </row>
    <row r="70" spans="1:30" ht="18" thickBot="1" x14ac:dyDescent="0.4">
      <c r="A70" s="1072"/>
      <c r="B70" s="1016"/>
      <c r="C70" s="301">
        <v>62</v>
      </c>
      <c r="D70" s="25">
        <v>104.8</v>
      </c>
      <c r="E70" s="26">
        <f t="shared" si="3"/>
        <v>1128.0567199999998</v>
      </c>
      <c r="F70" s="276"/>
      <c r="G70" s="276"/>
      <c r="H70" s="276" t="s">
        <v>8</v>
      </c>
      <c r="I70" s="276"/>
      <c r="J70" s="277"/>
      <c r="K70" s="278" t="s">
        <v>65</v>
      </c>
      <c r="L70" s="279"/>
      <c r="M70" s="276"/>
      <c r="N70" s="276" t="s">
        <v>8</v>
      </c>
      <c r="O70" s="276"/>
      <c r="P70" s="280"/>
      <c r="Q70" s="361"/>
      <c r="R70" s="371" t="s">
        <v>170</v>
      </c>
      <c r="U70" s="1139">
        <v>45518</v>
      </c>
      <c r="V70" s="811"/>
      <c r="W70" s="811"/>
      <c r="X70" s="1003" t="s">
        <v>199</v>
      </c>
      <c r="Y70" s="1117"/>
      <c r="Z70" s="1130" t="s">
        <v>200</v>
      </c>
      <c r="AA70" s="1131"/>
    </row>
    <row r="71" spans="1:30" x14ac:dyDescent="0.35">
      <c r="A71" s="1072"/>
      <c r="B71" s="1016"/>
      <c r="C71" s="979">
        <v>63</v>
      </c>
      <c r="D71" s="950">
        <v>86</v>
      </c>
      <c r="E71" s="952">
        <f t="shared" si="3"/>
        <v>925.69539999999995</v>
      </c>
      <c r="F71" s="944" t="s">
        <v>8</v>
      </c>
      <c r="G71" s="942"/>
      <c r="H71" s="942"/>
      <c r="I71" s="942"/>
      <c r="J71" s="964"/>
      <c r="K71" s="278" t="s">
        <v>64</v>
      </c>
      <c r="L71" s="966"/>
      <c r="M71" s="944" t="s">
        <v>8</v>
      </c>
      <c r="N71" s="944"/>
      <c r="O71" s="944"/>
      <c r="P71" s="954"/>
      <c r="Q71" s="956"/>
      <c r="R71" s="958" t="s">
        <v>172</v>
      </c>
      <c r="T71" s="312"/>
      <c r="U71" s="1136" t="s">
        <v>197</v>
      </c>
      <c r="V71" s="1137"/>
      <c r="W71" s="1138"/>
      <c r="X71" s="1118">
        <v>427</v>
      </c>
      <c r="Y71" s="1119"/>
      <c r="Z71" s="831">
        <v>639</v>
      </c>
      <c r="AA71" s="1132"/>
    </row>
    <row r="72" spans="1:30" x14ac:dyDescent="0.35">
      <c r="A72" s="1072"/>
      <c r="B72" s="1016"/>
      <c r="C72" s="980"/>
      <c r="D72" s="951"/>
      <c r="E72" s="953"/>
      <c r="F72" s="945"/>
      <c r="G72" s="943"/>
      <c r="H72" s="943"/>
      <c r="I72" s="943"/>
      <c r="J72" s="965"/>
      <c r="K72" s="278" t="s">
        <v>63</v>
      </c>
      <c r="L72" s="967"/>
      <c r="M72" s="945"/>
      <c r="N72" s="945"/>
      <c r="O72" s="945"/>
      <c r="P72" s="955"/>
      <c r="Q72" s="960"/>
      <c r="R72" s="959"/>
      <c r="T72" s="312"/>
      <c r="U72" s="455"/>
      <c r="V72" s="456"/>
      <c r="W72" s="457"/>
      <c r="X72" s="458"/>
      <c r="Y72" s="459"/>
      <c r="Z72" s="460"/>
      <c r="AA72" s="461"/>
    </row>
    <row r="73" spans="1:30" x14ac:dyDescent="0.35">
      <c r="A73" s="1072"/>
      <c r="B73" s="1016"/>
      <c r="C73" s="301">
        <v>64</v>
      </c>
      <c r="D73" s="25">
        <v>97.1</v>
      </c>
      <c r="E73" s="26">
        <f t="shared" si="3"/>
        <v>1045.1746899999998</v>
      </c>
      <c r="F73" s="276" t="s">
        <v>8</v>
      </c>
      <c r="G73" s="276"/>
      <c r="H73" s="276"/>
      <c r="I73" s="276"/>
      <c r="J73" s="277"/>
      <c r="K73" s="278" t="s">
        <v>63</v>
      </c>
      <c r="L73" s="279"/>
      <c r="M73" s="276"/>
      <c r="N73" s="276" t="s">
        <v>8</v>
      </c>
      <c r="O73" s="276"/>
      <c r="P73" s="280"/>
      <c r="Q73" s="359"/>
      <c r="R73" s="372" t="s">
        <v>171</v>
      </c>
      <c r="T73" s="312"/>
      <c r="U73" s="1124" t="s">
        <v>198</v>
      </c>
      <c r="V73" s="1125"/>
      <c r="W73" s="1126"/>
      <c r="X73" s="844">
        <v>317</v>
      </c>
      <c r="Y73" s="846"/>
      <c r="Z73" s="1133">
        <v>618</v>
      </c>
      <c r="AA73" s="1115"/>
    </row>
    <row r="74" spans="1:30" ht="18" thickBot="1" x14ac:dyDescent="0.4">
      <c r="A74" s="1072"/>
      <c r="B74" s="1016"/>
      <c r="C74" s="301">
        <v>65</v>
      </c>
      <c r="D74" s="25">
        <v>97.1</v>
      </c>
      <c r="E74" s="26">
        <f t="shared" si="3"/>
        <v>1045.1746899999998</v>
      </c>
      <c r="F74" s="276" t="s">
        <v>8</v>
      </c>
      <c r="G74" s="276"/>
      <c r="H74" s="276"/>
      <c r="I74" s="276"/>
      <c r="J74" s="277"/>
      <c r="K74" s="278" t="s">
        <v>63</v>
      </c>
      <c r="L74" s="279"/>
      <c r="M74" s="276"/>
      <c r="N74" s="276" t="s">
        <v>8</v>
      </c>
      <c r="O74" s="276"/>
      <c r="P74" s="280"/>
      <c r="Q74" s="359"/>
      <c r="R74" s="372" t="s">
        <v>171</v>
      </c>
      <c r="T74" s="312"/>
      <c r="U74" s="1120"/>
      <c r="V74" s="1048"/>
      <c r="W74" s="1127"/>
      <c r="X74" s="1120" t="s">
        <v>202</v>
      </c>
      <c r="Y74" s="1049"/>
      <c r="Z74" s="1134" t="s">
        <v>201</v>
      </c>
      <c r="AA74" s="1127"/>
    </row>
    <row r="75" spans="1:30" x14ac:dyDescent="0.35">
      <c r="A75" s="1072"/>
      <c r="B75" s="1016"/>
      <c r="C75" s="301">
        <v>66</v>
      </c>
      <c r="D75" s="25">
        <v>130</v>
      </c>
      <c r="E75" s="26">
        <f t="shared" si="3"/>
        <v>1399.307</v>
      </c>
      <c r="F75" s="276" t="s">
        <v>8</v>
      </c>
      <c r="G75" s="276"/>
      <c r="H75" s="276"/>
      <c r="I75" s="276"/>
      <c r="J75" s="277"/>
      <c r="K75" s="278" t="s">
        <v>163</v>
      </c>
      <c r="L75" s="279"/>
      <c r="M75" s="276"/>
      <c r="N75" s="276"/>
      <c r="O75" s="276" t="s">
        <v>8</v>
      </c>
      <c r="P75" s="280"/>
      <c r="Q75" s="360" t="s">
        <v>8</v>
      </c>
      <c r="R75" s="372" t="s">
        <v>171</v>
      </c>
    </row>
    <row r="76" spans="1:30" x14ac:dyDescent="0.35">
      <c r="A76" s="1072"/>
      <c r="B76" s="1016"/>
      <c r="C76" s="301">
        <v>67</v>
      </c>
      <c r="D76" s="25">
        <v>84.2</v>
      </c>
      <c r="E76" s="26">
        <f t="shared" si="3"/>
        <v>906.32038</v>
      </c>
      <c r="F76" s="276" t="s">
        <v>8</v>
      </c>
      <c r="G76" s="276"/>
      <c r="H76" s="276"/>
      <c r="I76" s="276"/>
      <c r="J76" s="277"/>
      <c r="K76" s="278" t="s">
        <v>164</v>
      </c>
      <c r="L76" s="279"/>
      <c r="M76" s="276"/>
      <c r="N76" s="276" t="s">
        <v>8</v>
      </c>
      <c r="O76" s="276"/>
      <c r="P76" s="280"/>
      <c r="Q76" s="360"/>
      <c r="R76" s="371" t="s">
        <v>170</v>
      </c>
    </row>
    <row r="77" spans="1:30" x14ac:dyDescent="0.35">
      <c r="A77" s="1072"/>
      <c r="B77" s="1016"/>
      <c r="C77" s="979">
        <v>68</v>
      </c>
      <c r="D77" s="950">
        <v>92.4</v>
      </c>
      <c r="E77" s="952">
        <f t="shared" si="3"/>
        <v>994.58436000000006</v>
      </c>
      <c r="F77" s="944" t="s">
        <v>8</v>
      </c>
      <c r="G77" s="942"/>
      <c r="H77" s="942"/>
      <c r="I77" s="942"/>
      <c r="J77" s="964"/>
      <c r="K77" s="278" t="s">
        <v>63</v>
      </c>
      <c r="L77" s="966"/>
      <c r="M77" s="942"/>
      <c r="N77" s="944" t="s">
        <v>8</v>
      </c>
      <c r="O77" s="944"/>
      <c r="P77" s="954"/>
      <c r="Q77" s="956" t="s">
        <v>8</v>
      </c>
      <c r="R77" s="958" t="s">
        <v>171</v>
      </c>
    </row>
    <row r="78" spans="1:30" ht="18" thickBot="1" x14ac:dyDescent="0.4">
      <c r="A78" s="1072"/>
      <c r="B78" s="1016"/>
      <c r="C78" s="980"/>
      <c r="D78" s="951"/>
      <c r="E78" s="953"/>
      <c r="F78" s="945"/>
      <c r="G78" s="943"/>
      <c r="H78" s="943"/>
      <c r="I78" s="943"/>
      <c r="J78" s="965"/>
      <c r="K78" s="278" t="s">
        <v>163</v>
      </c>
      <c r="L78" s="967"/>
      <c r="M78" s="943"/>
      <c r="N78" s="945"/>
      <c r="O78" s="945"/>
      <c r="P78" s="955"/>
      <c r="Q78" s="960"/>
      <c r="R78" s="959"/>
      <c r="U78" s="314"/>
      <c r="V78" s="314"/>
      <c r="W78" s="314"/>
      <c r="X78" s="314"/>
      <c r="Y78" s="314"/>
      <c r="Z78" s="314"/>
      <c r="AA78" s="314"/>
      <c r="AB78" s="314"/>
      <c r="AC78" s="314"/>
    </row>
    <row r="79" spans="1:30" ht="18" thickBot="1" x14ac:dyDescent="0.4">
      <c r="A79" s="1072"/>
      <c r="B79" s="1016"/>
      <c r="C79" s="979">
        <v>69</v>
      </c>
      <c r="D79" s="950">
        <v>92.4</v>
      </c>
      <c r="E79" s="952">
        <f t="shared" si="3"/>
        <v>994.58436000000006</v>
      </c>
      <c r="F79" s="944" t="s">
        <v>8</v>
      </c>
      <c r="G79" s="942"/>
      <c r="H79" s="942"/>
      <c r="I79" s="942"/>
      <c r="J79" s="964"/>
      <c r="K79" s="278" t="s">
        <v>63</v>
      </c>
      <c r="L79" s="966"/>
      <c r="M79" s="942"/>
      <c r="N79" s="944" t="s">
        <v>8</v>
      </c>
      <c r="O79" s="944"/>
      <c r="P79" s="954"/>
      <c r="Q79" s="956" t="s">
        <v>8</v>
      </c>
      <c r="R79" s="958" t="s">
        <v>171</v>
      </c>
      <c r="T79" s="312"/>
      <c r="U79" s="795"/>
      <c r="V79" s="811"/>
      <c r="W79" s="811"/>
      <c r="X79" s="798"/>
      <c r="Y79" s="400" t="s">
        <v>208</v>
      </c>
      <c r="Z79" s="408" t="s">
        <v>209</v>
      </c>
      <c r="AA79" s="408" t="s">
        <v>210</v>
      </c>
      <c r="AB79" s="408" t="s">
        <v>211</v>
      </c>
      <c r="AC79" s="397" t="s">
        <v>209</v>
      </c>
      <c r="AD79" s="412" t="s">
        <v>52</v>
      </c>
    </row>
    <row r="80" spans="1:30" ht="18" thickBot="1" x14ac:dyDescent="0.4">
      <c r="A80" s="1072"/>
      <c r="B80" s="1016"/>
      <c r="C80" s="980"/>
      <c r="D80" s="951"/>
      <c r="E80" s="953"/>
      <c r="F80" s="945"/>
      <c r="G80" s="943"/>
      <c r="H80" s="943"/>
      <c r="I80" s="943"/>
      <c r="J80" s="965"/>
      <c r="K80" s="278" t="s">
        <v>163</v>
      </c>
      <c r="L80" s="967"/>
      <c r="M80" s="943"/>
      <c r="N80" s="945"/>
      <c r="O80" s="945"/>
      <c r="P80" s="955"/>
      <c r="Q80" s="960"/>
      <c r="R80" s="959"/>
      <c r="T80" s="312"/>
      <c r="U80" s="462"/>
      <c r="V80" s="463"/>
      <c r="W80" s="463"/>
      <c r="X80" s="464"/>
      <c r="Y80" s="465"/>
      <c r="Z80" s="466"/>
      <c r="AA80" s="466"/>
      <c r="AB80" s="466"/>
      <c r="AC80" s="440"/>
      <c r="AD80" s="411"/>
    </row>
    <row r="81" spans="1:30" x14ac:dyDescent="0.35">
      <c r="A81" s="1072"/>
      <c r="B81" s="1016"/>
      <c r="C81" s="979">
        <v>70</v>
      </c>
      <c r="D81" s="950">
        <v>94.6</v>
      </c>
      <c r="E81" s="952">
        <f>SUM(D81*10.7639)</f>
        <v>1018.2649399999999</v>
      </c>
      <c r="F81" s="944" t="s">
        <v>8</v>
      </c>
      <c r="G81" s="942"/>
      <c r="H81" s="942"/>
      <c r="I81" s="942"/>
      <c r="J81" s="964"/>
      <c r="K81" s="278" t="s">
        <v>163</v>
      </c>
      <c r="L81" s="966"/>
      <c r="M81" s="942"/>
      <c r="N81" s="944" t="s">
        <v>8</v>
      </c>
      <c r="O81" s="944"/>
      <c r="P81" s="954"/>
      <c r="Q81" s="956"/>
      <c r="R81" s="958" t="s">
        <v>171</v>
      </c>
      <c r="T81" s="312"/>
      <c r="U81" s="1118" t="s">
        <v>205</v>
      </c>
      <c r="V81" s="1119"/>
      <c r="W81" s="1119"/>
      <c r="X81" s="1132"/>
      <c r="Y81" s="405">
        <v>38</v>
      </c>
      <c r="Z81" s="409">
        <v>100</v>
      </c>
      <c r="AA81" s="409">
        <v>99</v>
      </c>
      <c r="AB81" s="409"/>
      <c r="AC81" s="403">
        <v>104</v>
      </c>
      <c r="AD81" s="411">
        <f>SUM(Y81:AC81)</f>
        <v>341</v>
      </c>
    </row>
    <row r="82" spans="1:30" x14ac:dyDescent="0.35">
      <c r="A82" s="1072"/>
      <c r="B82" s="1016"/>
      <c r="C82" s="1103"/>
      <c r="D82" s="975"/>
      <c r="E82" s="976"/>
      <c r="F82" s="973"/>
      <c r="G82" s="972"/>
      <c r="H82" s="972"/>
      <c r="I82" s="972"/>
      <c r="J82" s="977"/>
      <c r="K82" s="278" t="s">
        <v>164</v>
      </c>
      <c r="L82" s="978"/>
      <c r="M82" s="972"/>
      <c r="N82" s="973"/>
      <c r="O82" s="973"/>
      <c r="P82" s="974"/>
      <c r="Q82" s="957"/>
      <c r="R82" s="961"/>
      <c r="T82" s="312"/>
      <c r="U82" s="458"/>
      <c r="V82" s="459"/>
      <c r="W82" s="459"/>
      <c r="X82" s="461"/>
      <c r="Y82" s="467"/>
      <c r="Z82" s="468"/>
      <c r="AA82" s="468"/>
      <c r="AB82" s="468"/>
      <c r="AC82" s="321"/>
      <c r="AD82" s="411"/>
    </row>
    <row r="83" spans="1:30" x14ac:dyDescent="0.35">
      <c r="A83" s="1072"/>
      <c r="B83" s="1016"/>
      <c r="C83" s="980"/>
      <c r="D83" s="951"/>
      <c r="E83" s="953"/>
      <c r="F83" s="945"/>
      <c r="G83" s="943"/>
      <c r="H83" s="943"/>
      <c r="I83" s="943"/>
      <c r="J83" s="965"/>
      <c r="K83" s="278" t="s">
        <v>66</v>
      </c>
      <c r="L83" s="967"/>
      <c r="M83" s="943"/>
      <c r="N83" s="945"/>
      <c r="O83" s="945"/>
      <c r="P83" s="955"/>
      <c r="Q83" s="957"/>
      <c r="R83" s="959"/>
      <c r="T83" s="312"/>
      <c r="U83" s="458"/>
      <c r="V83" s="459"/>
      <c r="W83" s="459"/>
      <c r="X83" s="461"/>
      <c r="Y83" s="467"/>
      <c r="Z83" s="468"/>
      <c r="AA83" s="468"/>
      <c r="AB83" s="468"/>
      <c r="AC83" s="321"/>
      <c r="AD83" s="411"/>
    </row>
    <row r="84" spans="1:30" x14ac:dyDescent="0.35">
      <c r="A84" s="1072"/>
      <c r="B84" s="1016"/>
      <c r="C84" s="301">
        <v>71</v>
      </c>
      <c r="D84" s="25">
        <v>113.8</v>
      </c>
      <c r="E84" s="26">
        <f t="shared" si="3"/>
        <v>1224.93182</v>
      </c>
      <c r="F84" s="276" t="s">
        <v>8</v>
      </c>
      <c r="G84" s="276"/>
      <c r="H84" s="276"/>
      <c r="I84" s="276"/>
      <c r="J84" s="277"/>
      <c r="K84" s="278" t="s">
        <v>65</v>
      </c>
      <c r="L84" s="279"/>
      <c r="M84" s="276"/>
      <c r="N84" s="276" t="s">
        <v>8</v>
      </c>
      <c r="O84" s="276"/>
      <c r="P84" s="280"/>
      <c r="Q84" s="361" t="s">
        <v>8</v>
      </c>
      <c r="R84" s="372" t="s">
        <v>171</v>
      </c>
      <c r="T84" s="312"/>
      <c r="U84" s="844" t="s">
        <v>204</v>
      </c>
      <c r="V84" s="845"/>
      <c r="W84" s="845"/>
      <c r="X84" s="1115"/>
      <c r="Y84" s="406">
        <v>6</v>
      </c>
      <c r="Z84" s="407"/>
      <c r="AA84" s="407"/>
      <c r="AB84" s="407">
        <v>99</v>
      </c>
      <c r="AC84" s="402"/>
      <c r="AD84" s="413">
        <f>SUM(Y84:AC84)</f>
        <v>105</v>
      </c>
    </row>
    <row r="85" spans="1:30" x14ac:dyDescent="0.35">
      <c r="A85" s="1072"/>
      <c r="B85" s="1016"/>
      <c r="C85" s="301">
        <v>72</v>
      </c>
      <c r="D85" s="25">
        <v>130</v>
      </c>
      <c r="E85" s="26">
        <f t="shared" ref="E85:E91" si="4">SUM(D85*10.7639)</f>
        <v>1399.307</v>
      </c>
      <c r="F85" s="276" t="s">
        <v>8</v>
      </c>
      <c r="G85" s="276"/>
      <c r="H85" s="276"/>
      <c r="I85" s="276"/>
      <c r="J85" s="277"/>
      <c r="K85" s="278" t="s">
        <v>163</v>
      </c>
      <c r="L85" s="279"/>
      <c r="M85" s="276"/>
      <c r="N85" s="276"/>
      <c r="O85" s="276" t="s">
        <v>8</v>
      </c>
      <c r="P85" s="280"/>
      <c r="Q85" s="359" t="s">
        <v>8</v>
      </c>
      <c r="R85" s="372" t="s">
        <v>171</v>
      </c>
      <c r="T85" s="312"/>
      <c r="U85" s="844" t="s">
        <v>206</v>
      </c>
      <c r="V85" s="845"/>
      <c r="W85" s="845"/>
      <c r="X85" s="1115"/>
      <c r="Y85" s="406">
        <v>17</v>
      </c>
      <c r="Z85" s="407"/>
      <c r="AA85" s="407"/>
      <c r="AB85" s="407">
        <v>1</v>
      </c>
      <c r="AC85" s="402"/>
      <c r="AD85" s="413">
        <f>SUM(Y85:AC85)</f>
        <v>18</v>
      </c>
    </row>
    <row r="86" spans="1:30" x14ac:dyDescent="0.35">
      <c r="A86" s="1072"/>
      <c r="B86" s="1016"/>
      <c r="C86" s="442">
        <v>73</v>
      </c>
      <c r="D86" s="25">
        <v>54.1</v>
      </c>
      <c r="E86" s="26">
        <f t="shared" si="4"/>
        <v>582.32699000000002</v>
      </c>
      <c r="F86" s="276"/>
      <c r="G86" s="276"/>
      <c r="H86" s="276" t="s">
        <v>8</v>
      </c>
      <c r="I86" s="276"/>
      <c r="J86" s="277"/>
      <c r="K86" s="278" t="s">
        <v>64</v>
      </c>
      <c r="L86" s="279" t="s">
        <v>8</v>
      </c>
      <c r="M86" s="276"/>
      <c r="N86" s="276"/>
      <c r="O86" s="276"/>
      <c r="P86" s="280"/>
      <c r="Q86" s="359"/>
      <c r="R86" s="371" t="s">
        <v>170</v>
      </c>
      <c r="T86" s="312"/>
      <c r="U86" s="1125" t="s">
        <v>203</v>
      </c>
      <c r="V86" s="1125"/>
      <c r="W86" s="1125"/>
      <c r="X86" s="1126"/>
      <c r="Y86" s="404">
        <v>2</v>
      </c>
      <c r="Z86" s="407"/>
      <c r="AA86" s="407"/>
      <c r="AB86" s="407"/>
      <c r="AC86" s="401"/>
      <c r="AD86" s="413">
        <f>SUM(Y86:AC86)</f>
        <v>2</v>
      </c>
    </row>
    <row r="87" spans="1:30" ht="18" thickBot="1" x14ac:dyDescent="0.4">
      <c r="A87" s="1072"/>
      <c r="B87" s="1016"/>
      <c r="C87" s="442">
        <v>74</v>
      </c>
      <c r="D87" s="25">
        <v>82.4</v>
      </c>
      <c r="E87" s="26">
        <f t="shared" si="4"/>
        <v>886.94536000000005</v>
      </c>
      <c r="F87" s="276"/>
      <c r="G87" s="276"/>
      <c r="H87" s="276" t="s">
        <v>8</v>
      </c>
      <c r="I87" s="276"/>
      <c r="J87" s="277"/>
      <c r="K87" s="278" t="s">
        <v>64</v>
      </c>
      <c r="L87" s="279"/>
      <c r="M87" s="276" t="s">
        <v>8</v>
      </c>
      <c r="N87" s="276"/>
      <c r="O87" s="276"/>
      <c r="P87" s="280"/>
      <c r="Q87" s="359"/>
      <c r="R87" s="371" t="s">
        <v>170</v>
      </c>
      <c r="T87" s="312"/>
      <c r="U87" s="790" t="s">
        <v>207</v>
      </c>
      <c r="V87" s="790"/>
      <c r="W87" s="790"/>
      <c r="X87" s="1116"/>
      <c r="Y87" s="322">
        <v>4</v>
      </c>
      <c r="Z87" s="410"/>
      <c r="AA87" s="410"/>
      <c r="AB87" s="410"/>
      <c r="AC87" s="324"/>
      <c r="AD87" s="414">
        <f>SUM(Y87:AC87)</f>
        <v>4</v>
      </c>
    </row>
    <row r="88" spans="1:30" x14ac:dyDescent="0.35">
      <c r="A88" s="1072"/>
      <c r="B88" s="1016"/>
      <c r="C88" s="442">
        <v>75</v>
      </c>
      <c r="D88" s="25">
        <v>54.1</v>
      </c>
      <c r="E88" s="26">
        <f t="shared" si="4"/>
        <v>582.32699000000002</v>
      </c>
      <c r="F88" s="276"/>
      <c r="G88" s="276"/>
      <c r="H88" s="276" t="s">
        <v>8</v>
      </c>
      <c r="I88" s="276"/>
      <c r="J88" s="277"/>
      <c r="K88" s="278" t="s">
        <v>65</v>
      </c>
      <c r="L88" s="279" t="s">
        <v>8</v>
      </c>
      <c r="M88" s="276"/>
      <c r="N88" s="276"/>
      <c r="O88" s="276"/>
      <c r="P88" s="280"/>
      <c r="Q88" s="359"/>
      <c r="R88" s="371" t="s">
        <v>170</v>
      </c>
    </row>
    <row r="89" spans="1:30" x14ac:dyDescent="0.35">
      <c r="A89" s="1072"/>
      <c r="B89" s="1016"/>
      <c r="C89" s="442">
        <v>76</v>
      </c>
      <c r="D89" s="25">
        <v>93.3</v>
      </c>
      <c r="E89" s="26">
        <f t="shared" si="4"/>
        <v>1004.2718699999999</v>
      </c>
      <c r="F89" s="276"/>
      <c r="G89" s="276"/>
      <c r="H89" s="276" t="s">
        <v>8</v>
      </c>
      <c r="I89" s="276"/>
      <c r="J89" s="277"/>
      <c r="K89" s="278" t="s">
        <v>65</v>
      </c>
      <c r="L89" s="279"/>
      <c r="M89" s="276"/>
      <c r="N89" s="276" t="s">
        <v>8</v>
      </c>
      <c r="O89" s="276"/>
      <c r="P89" s="280"/>
      <c r="Q89" s="359"/>
      <c r="R89" s="371" t="s">
        <v>170</v>
      </c>
    </row>
    <row r="90" spans="1:30" x14ac:dyDescent="0.35">
      <c r="A90" s="1072"/>
      <c r="B90" s="1016"/>
      <c r="C90" s="442">
        <v>77</v>
      </c>
      <c r="D90" s="25">
        <v>72.7</v>
      </c>
      <c r="E90" s="26">
        <f t="shared" si="4"/>
        <v>782.53552999999999</v>
      </c>
      <c r="F90" s="276"/>
      <c r="G90" s="276"/>
      <c r="H90" s="276" t="s">
        <v>8</v>
      </c>
      <c r="I90" s="276"/>
      <c r="J90" s="277"/>
      <c r="K90" s="278" t="s">
        <v>65</v>
      </c>
      <c r="L90" s="279"/>
      <c r="M90" s="276" t="s">
        <v>8</v>
      </c>
      <c r="N90" s="276"/>
      <c r="O90" s="276"/>
      <c r="P90" s="280"/>
      <c r="Q90" s="361"/>
      <c r="R90" s="371" t="s">
        <v>170</v>
      </c>
    </row>
    <row r="91" spans="1:30" x14ac:dyDescent="0.35">
      <c r="A91" s="1072"/>
      <c r="B91" s="1016"/>
      <c r="C91" s="442">
        <v>78</v>
      </c>
      <c r="D91" s="25">
        <v>78.599999999999994</v>
      </c>
      <c r="E91" s="26">
        <f t="shared" si="4"/>
        <v>846.04253999999992</v>
      </c>
      <c r="F91" s="276"/>
      <c r="G91" s="276"/>
      <c r="H91" s="276" t="s">
        <v>8</v>
      </c>
      <c r="I91" s="276"/>
      <c r="J91" s="277"/>
      <c r="K91" s="278" t="s">
        <v>65</v>
      </c>
      <c r="L91" s="279"/>
      <c r="M91" s="276" t="s">
        <v>8</v>
      </c>
      <c r="N91" s="276"/>
      <c r="O91" s="276"/>
      <c r="P91" s="280"/>
      <c r="Q91" s="359" t="s">
        <v>8</v>
      </c>
      <c r="R91" s="371" t="s">
        <v>170</v>
      </c>
    </row>
    <row r="92" spans="1:30" x14ac:dyDescent="0.35">
      <c r="A92" s="1072"/>
      <c r="B92" s="1016"/>
      <c r="C92" s="301">
        <v>79</v>
      </c>
      <c r="D92" s="25">
        <v>84.7</v>
      </c>
      <c r="E92" s="26">
        <f>SUM(D92*10.7639)</f>
        <v>911.70232999999996</v>
      </c>
      <c r="F92" s="276"/>
      <c r="G92" s="276"/>
      <c r="H92" s="276" t="s">
        <v>8</v>
      </c>
      <c r="I92" s="276"/>
      <c r="J92" s="277"/>
      <c r="K92" s="278" t="s">
        <v>65</v>
      </c>
      <c r="L92" s="279"/>
      <c r="M92" s="276"/>
      <c r="N92" s="276" t="s">
        <v>8</v>
      </c>
      <c r="O92" s="276"/>
      <c r="P92" s="280"/>
      <c r="Q92" s="359"/>
      <c r="R92" s="371" t="s">
        <v>170</v>
      </c>
    </row>
    <row r="93" spans="1:30" x14ac:dyDescent="0.35">
      <c r="A93" s="1072"/>
      <c r="B93" s="1016"/>
      <c r="C93" s="301">
        <v>80</v>
      </c>
      <c r="D93" s="25">
        <v>84.7</v>
      </c>
      <c r="E93" s="26">
        <f>SUM(D93*10.7639)</f>
        <v>911.70232999999996</v>
      </c>
      <c r="F93" s="276"/>
      <c r="G93" s="276"/>
      <c r="H93" s="276" t="s">
        <v>8</v>
      </c>
      <c r="I93" s="276"/>
      <c r="J93" s="277"/>
      <c r="K93" s="278" t="s">
        <v>65</v>
      </c>
      <c r="L93" s="279"/>
      <c r="M93" s="276"/>
      <c r="N93" s="276" t="s">
        <v>8</v>
      </c>
      <c r="O93" s="276"/>
      <c r="P93" s="280"/>
      <c r="Q93" s="360"/>
      <c r="R93" s="371" t="s">
        <v>170</v>
      </c>
    </row>
    <row r="94" spans="1:30" x14ac:dyDescent="0.35">
      <c r="A94" s="1072"/>
      <c r="B94" s="1016"/>
      <c r="C94" s="442">
        <v>81</v>
      </c>
      <c r="D94" s="25">
        <v>49.3</v>
      </c>
      <c r="E94" s="26">
        <f t="shared" ref="E94:E174" si="5">SUM(D94*10.7639)</f>
        <v>530.66026999999997</v>
      </c>
      <c r="F94" s="276"/>
      <c r="G94" s="276"/>
      <c r="H94" s="276" t="s">
        <v>8</v>
      </c>
      <c r="I94" s="276"/>
      <c r="J94" s="277"/>
      <c r="K94" s="278" t="s">
        <v>65</v>
      </c>
      <c r="L94" s="279" t="s">
        <v>8</v>
      </c>
      <c r="M94" s="276"/>
      <c r="N94" s="276"/>
      <c r="O94" s="276"/>
      <c r="P94" s="280"/>
      <c r="Q94" s="360"/>
      <c r="R94" s="371" t="s">
        <v>170</v>
      </c>
    </row>
    <row r="95" spans="1:30" x14ac:dyDescent="0.35">
      <c r="A95" s="1072"/>
      <c r="B95" s="1016"/>
      <c r="C95" s="442">
        <v>82</v>
      </c>
      <c r="D95" s="25">
        <v>72.7</v>
      </c>
      <c r="E95" s="26">
        <f t="shared" si="5"/>
        <v>782.53552999999999</v>
      </c>
      <c r="F95" s="276"/>
      <c r="G95" s="276"/>
      <c r="H95" s="276" t="s">
        <v>8</v>
      </c>
      <c r="I95" s="276"/>
      <c r="J95" s="277"/>
      <c r="K95" s="278" t="s">
        <v>64</v>
      </c>
      <c r="L95" s="279"/>
      <c r="M95" s="276" t="s">
        <v>8</v>
      </c>
      <c r="N95" s="276"/>
      <c r="O95" s="276"/>
      <c r="P95" s="280"/>
      <c r="Q95" s="361"/>
      <c r="R95" s="371" t="s">
        <v>170</v>
      </c>
    </row>
    <row r="96" spans="1:30" ht="17.25" customHeight="1" x14ac:dyDescent="0.35">
      <c r="A96" s="1072"/>
      <c r="B96" s="1016"/>
      <c r="C96" s="442">
        <v>83</v>
      </c>
      <c r="D96" s="25">
        <v>78</v>
      </c>
      <c r="E96" s="26">
        <f t="shared" si="5"/>
        <v>839.58420000000001</v>
      </c>
      <c r="F96" s="276" t="s">
        <v>8</v>
      </c>
      <c r="G96" s="276"/>
      <c r="H96" s="276"/>
      <c r="I96" s="276"/>
      <c r="J96" s="277"/>
      <c r="K96" s="278" t="s">
        <v>64</v>
      </c>
      <c r="L96" s="279"/>
      <c r="M96" s="276" t="s">
        <v>8</v>
      </c>
      <c r="N96" s="276"/>
      <c r="O96" s="276"/>
      <c r="P96" s="280"/>
      <c r="Q96" s="359"/>
      <c r="R96" s="371" t="s">
        <v>170</v>
      </c>
    </row>
    <row r="97" spans="1:18" x14ac:dyDescent="0.35">
      <c r="A97" s="1072"/>
      <c r="B97" s="1016"/>
      <c r="C97" s="442">
        <v>84</v>
      </c>
      <c r="D97" s="25">
        <v>90.2</v>
      </c>
      <c r="E97" s="26">
        <f t="shared" si="5"/>
        <v>970.90377999999998</v>
      </c>
      <c r="F97" s="276" t="s">
        <v>8</v>
      </c>
      <c r="G97" s="276"/>
      <c r="H97" s="276"/>
      <c r="I97" s="276"/>
      <c r="J97" s="277"/>
      <c r="K97" s="278" t="s">
        <v>64</v>
      </c>
      <c r="L97" s="279"/>
      <c r="M97" s="276" t="s">
        <v>8</v>
      </c>
      <c r="N97" s="276"/>
      <c r="O97" s="276"/>
      <c r="P97" s="280"/>
      <c r="Q97" s="360"/>
      <c r="R97" s="371" t="s">
        <v>170</v>
      </c>
    </row>
    <row r="98" spans="1:18" x14ac:dyDescent="0.35">
      <c r="A98" s="1072"/>
      <c r="B98" s="1016"/>
      <c r="C98" s="442">
        <v>85</v>
      </c>
      <c r="D98" s="25">
        <v>78</v>
      </c>
      <c r="E98" s="26">
        <f t="shared" si="5"/>
        <v>839.58420000000001</v>
      </c>
      <c r="F98" s="276" t="s">
        <v>8</v>
      </c>
      <c r="G98" s="276"/>
      <c r="H98" s="276"/>
      <c r="I98" s="276"/>
      <c r="J98" s="277"/>
      <c r="K98" s="278" t="s">
        <v>64</v>
      </c>
      <c r="L98" s="279"/>
      <c r="M98" s="276" t="s">
        <v>8</v>
      </c>
      <c r="N98" s="276"/>
      <c r="O98" s="276"/>
      <c r="P98" s="280"/>
      <c r="Q98" s="360"/>
      <c r="R98" s="371" t="s">
        <v>170</v>
      </c>
    </row>
    <row r="99" spans="1:18" x14ac:dyDescent="0.35">
      <c r="A99" s="1072"/>
      <c r="B99" s="1017"/>
      <c r="C99" s="442">
        <v>86</v>
      </c>
      <c r="D99" s="25">
        <v>78</v>
      </c>
      <c r="E99" s="26">
        <f t="shared" si="5"/>
        <v>839.58420000000001</v>
      </c>
      <c r="F99" s="276" t="s">
        <v>8</v>
      </c>
      <c r="G99" s="276"/>
      <c r="H99" s="276"/>
      <c r="I99" s="276"/>
      <c r="J99" s="277"/>
      <c r="K99" s="278" t="s">
        <v>64</v>
      </c>
      <c r="L99" s="279"/>
      <c r="M99" s="276" t="s">
        <v>8</v>
      </c>
      <c r="N99" s="276"/>
      <c r="O99" s="276"/>
      <c r="P99" s="280"/>
      <c r="Q99" s="361"/>
      <c r="R99" s="371" t="s">
        <v>170</v>
      </c>
    </row>
    <row r="100" spans="1:18" x14ac:dyDescent="0.35">
      <c r="A100" s="1072"/>
      <c r="B100" s="1019" t="s">
        <v>123</v>
      </c>
      <c r="C100" s="948">
        <v>87</v>
      </c>
      <c r="D100" s="950">
        <v>99.1</v>
      </c>
      <c r="E100" s="952">
        <f t="shared" si="5"/>
        <v>1066.7024899999999</v>
      </c>
      <c r="F100" s="944" t="s">
        <v>8</v>
      </c>
      <c r="G100" s="942"/>
      <c r="H100" s="942"/>
      <c r="I100" s="942"/>
      <c r="J100" s="964"/>
      <c r="K100" s="278" t="s">
        <v>163</v>
      </c>
      <c r="L100" s="966"/>
      <c r="M100" s="942"/>
      <c r="N100" s="944" t="s">
        <v>8</v>
      </c>
      <c r="O100" s="944"/>
      <c r="P100" s="954"/>
      <c r="Q100" s="956"/>
      <c r="R100" s="958" t="s">
        <v>171</v>
      </c>
    </row>
    <row r="101" spans="1:18" x14ac:dyDescent="0.35">
      <c r="A101" s="1072"/>
      <c r="B101" s="1020"/>
      <c r="C101" s="949"/>
      <c r="D101" s="951"/>
      <c r="E101" s="953"/>
      <c r="F101" s="945"/>
      <c r="G101" s="943"/>
      <c r="H101" s="943"/>
      <c r="I101" s="943"/>
      <c r="J101" s="965"/>
      <c r="K101" s="278" t="s">
        <v>66</v>
      </c>
      <c r="L101" s="967"/>
      <c r="M101" s="943"/>
      <c r="N101" s="945"/>
      <c r="O101" s="945"/>
      <c r="P101" s="955"/>
      <c r="Q101" s="957"/>
      <c r="R101" s="959"/>
    </row>
    <row r="102" spans="1:18" x14ac:dyDescent="0.35">
      <c r="A102" s="1072"/>
      <c r="B102" s="1020"/>
      <c r="C102" s="948">
        <v>88</v>
      </c>
      <c r="D102" s="950">
        <v>131.4</v>
      </c>
      <c r="E102" s="952">
        <f t="shared" si="5"/>
        <v>1414.37646</v>
      </c>
      <c r="F102" s="944" t="s">
        <v>8</v>
      </c>
      <c r="G102" s="942"/>
      <c r="H102" s="942"/>
      <c r="I102" s="942"/>
      <c r="J102" s="964"/>
      <c r="K102" s="278" t="s">
        <v>164</v>
      </c>
      <c r="L102" s="966"/>
      <c r="M102" s="942"/>
      <c r="N102" s="942"/>
      <c r="O102" s="944" t="s">
        <v>8</v>
      </c>
      <c r="P102" s="954"/>
      <c r="Q102" s="957" t="s">
        <v>8</v>
      </c>
      <c r="R102" s="958" t="s">
        <v>171</v>
      </c>
    </row>
    <row r="103" spans="1:18" x14ac:dyDescent="0.35">
      <c r="A103" s="1072"/>
      <c r="B103" s="1020"/>
      <c r="C103" s="949"/>
      <c r="D103" s="951"/>
      <c r="E103" s="953"/>
      <c r="F103" s="945"/>
      <c r="G103" s="943"/>
      <c r="H103" s="943"/>
      <c r="I103" s="943"/>
      <c r="J103" s="965"/>
      <c r="K103" s="278" t="s">
        <v>163</v>
      </c>
      <c r="L103" s="967"/>
      <c r="M103" s="943"/>
      <c r="N103" s="943"/>
      <c r="O103" s="945"/>
      <c r="P103" s="955"/>
      <c r="Q103" s="960"/>
      <c r="R103" s="959"/>
    </row>
    <row r="104" spans="1:18" x14ac:dyDescent="0.35">
      <c r="A104" s="1072"/>
      <c r="B104" s="1020"/>
      <c r="C104" s="442">
        <v>89</v>
      </c>
      <c r="D104" s="25">
        <v>131.4</v>
      </c>
      <c r="E104" s="26">
        <f t="shared" si="5"/>
        <v>1414.37646</v>
      </c>
      <c r="F104" s="276" t="s">
        <v>8</v>
      </c>
      <c r="G104" s="276"/>
      <c r="H104" s="276"/>
      <c r="I104" s="276"/>
      <c r="J104" s="277"/>
      <c r="K104" s="278" t="s">
        <v>163</v>
      </c>
      <c r="L104" s="279"/>
      <c r="M104" s="276"/>
      <c r="N104" s="276"/>
      <c r="O104" s="276" t="s">
        <v>8</v>
      </c>
      <c r="P104" s="280"/>
      <c r="Q104" s="359" t="s">
        <v>8</v>
      </c>
      <c r="R104" s="372" t="s">
        <v>171</v>
      </c>
    </row>
    <row r="105" spans="1:18" x14ac:dyDescent="0.35">
      <c r="A105" s="1072"/>
      <c r="B105" s="1020"/>
      <c r="C105" s="442">
        <v>90</v>
      </c>
      <c r="D105" s="25">
        <v>77.099999999999994</v>
      </c>
      <c r="E105" s="26">
        <f t="shared" si="5"/>
        <v>829.89668999999992</v>
      </c>
      <c r="F105" s="276" t="s">
        <v>8</v>
      </c>
      <c r="G105" s="276"/>
      <c r="H105" s="276"/>
      <c r="I105" s="276"/>
      <c r="J105" s="277"/>
      <c r="K105" s="278" t="s">
        <v>163</v>
      </c>
      <c r="L105" s="279"/>
      <c r="M105" s="276" t="s">
        <v>8</v>
      </c>
      <c r="N105" s="276"/>
      <c r="O105" s="276"/>
      <c r="P105" s="280"/>
      <c r="Q105" s="359"/>
      <c r="R105" s="372" t="s">
        <v>171</v>
      </c>
    </row>
    <row r="106" spans="1:18" x14ac:dyDescent="0.35">
      <c r="A106" s="1072"/>
      <c r="B106" s="1020"/>
      <c r="C106" s="442">
        <v>91</v>
      </c>
      <c r="D106" s="25">
        <v>70</v>
      </c>
      <c r="E106" s="26">
        <f>SUM(D106*10.7639)</f>
        <v>753.47299999999996</v>
      </c>
      <c r="F106" s="276" t="s">
        <v>8</v>
      </c>
      <c r="G106" s="276"/>
      <c r="H106" s="276"/>
      <c r="I106" s="276"/>
      <c r="J106" s="277"/>
      <c r="K106" s="278" t="s">
        <v>163</v>
      </c>
      <c r="L106" s="279"/>
      <c r="M106" s="276" t="s">
        <v>8</v>
      </c>
      <c r="N106" s="276"/>
      <c r="O106" s="276"/>
      <c r="P106" s="280"/>
      <c r="Q106" s="360"/>
      <c r="R106" s="372" t="s">
        <v>171</v>
      </c>
    </row>
    <row r="107" spans="1:18" x14ac:dyDescent="0.35">
      <c r="A107" s="1072"/>
      <c r="B107" s="1020"/>
      <c r="C107" s="442">
        <v>92</v>
      </c>
      <c r="D107" s="25">
        <v>70</v>
      </c>
      <c r="E107" s="26">
        <f t="shared" si="5"/>
        <v>753.47299999999996</v>
      </c>
      <c r="F107" s="276" t="s">
        <v>8</v>
      </c>
      <c r="G107" s="276"/>
      <c r="H107" s="276"/>
      <c r="I107" s="276"/>
      <c r="J107" s="277"/>
      <c r="K107" s="278" t="s">
        <v>163</v>
      </c>
      <c r="L107" s="279"/>
      <c r="M107" s="276" t="s">
        <v>8</v>
      </c>
      <c r="N107" s="276"/>
      <c r="O107" s="276"/>
      <c r="P107" s="280"/>
      <c r="Q107" s="361"/>
      <c r="R107" s="372" t="s">
        <v>171</v>
      </c>
    </row>
    <row r="108" spans="1:18" x14ac:dyDescent="0.35">
      <c r="A108" s="1072"/>
      <c r="B108" s="1020"/>
      <c r="C108" s="442">
        <v>93</v>
      </c>
      <c r="D108" s="25">
        <v>76.599999999999994</v>
      </c>
      <c r="E108" s="26">
        <f t="shared" si="5"/>
        <v>824.51473999999996</v>
      </c>
      <c r="F108" s="276" t="s">
        <v>8</v>
      </c>
      <c r="G108" s="276"/>
      <c r="H108" s="276"/>
      <c r="I108" s="276"/>
      <c r="J108" s="277"/>
      <c r="K108" s="278" t="s">
        <v>65</v>
      </c>
      <c r="L108" s="279"/>
      <c r="M108" s="276" t="s">
        <v>8</v>
      </c>
      <c r="N108" s="276"/>
      <c r="O108" s="276"/>
      <c r="P108" s="280"/>
      <c r="Q108" s="359" t="s">
        <v>8</v>
      </c>
      <c r="R108" s="371" t="s">
        <v>170</v>
      </c>
    </row>
    <row r="109" spans="1:18" x14ac:dyDescent="0.35">
      <c r="A109" s="1072"/>
      <c r="B109" s="1020"/>
      <c r="C109" s="948">
        <v>94</v>
      </c>
      <c r="D109" s="950">
        <v>74.2</v>
      </c>
      <c r="E109" s="952">
        <f t="shared" si="5"/>
        <v>798.68137999999999</v>
      </c>
      <c r="F109" s="944" t="s">
        <v>8</v>
      </c>
      <c r="G109" s="942"/>
      <c r="H109" s="942"/>
      <c r="I109" s="942"/>
      <c r="J109" s="964"/>
      <c r="K109" s="278" t="s">
        <v>64</v>
      </c>
      <c r="L109" s="966"/>
      <c r="M109" s="944" t="s">
        <v>8</v>
      </c>
      <c r="N109" s="944"/>
      <c r="O109" s="944"/>
      <c r="P109" s="954"/>
      <c r="Q109" s="956"/>
      <c r="R109" s="961" t="s">
        <v>170</v>
      </c>
    </row>
    <row r="110" spans="1:18" x14ac:dyDescent="0.35">
      <c r="A110" s="1072"/>
      <c r="B110" s="1020"/>
      <c r="C110" s="949"/>
      <c r="D110" s="951"/>
      <c r="E110" s="953"/>
      <c r="F110" s="945"/>
      <c r="G110" s="943"/>
      <c r="H110" s="943"/>
      <c r="I110" s="943"/>
      <c r="J110" s="965"/>
      <c r="K110" s="278" t="s">
        <v>218</v>
      </c>
      <c r="L110" s="967"/>
      <c r="M110" s="945"/>
      <c r="N110" s="945"/>
      <c r="O110" s="945"/>
      <c r="P110" s="955"/>
      <c r="Q110" s="960"/>
      <c r="R110" s="961"/>
    </row>
    <row r="111" spans="1:18" x14ac:dyDescent="0.35">
      <c r="A111" s="1072"/>
      <c r="B111" s="1020"/>
      <c r="C111" s="442">
        <v>95</v>
      </c>
      <c r="D111" s="25">
        <v>80.3</v>
      </c>
      <c r="E111" s="26">
        <f t="shared" si="5"/>
        <v>864.34116999999992</v>
      </c>
      <c r="F111" s="276" t="s">
        <v>8</v>
      </c>
      <c r="G111" s="276"/>
      <c r="H111" s="276"/>
      <c r="I111" s="276"/>
      <c r="J111" s="277"/>
      <c r="K111" s="278" t="s">
        <v>64</v>
      </c>
      <c r="L111" s="279"/>
      <c r="M111" s="276" t="s">
        <v>8</v>
      </c>
      <c r="N111" s="276"/>
      <c r="O111" s="276"/>
      <c r="P111" s="280"/>
      <c r="Q111" s="359"/>
      <c r="R111" s="371" t="s">
        <v>170</v>
      </c>
    </row>
    <row r="112" spans="1:18" x14ac:dyDescent="0.35">
      <c r="A112" s="1072"/>
      <c r="B112" s="1020"/>
      <c r="C112" s="948">
        <v>96</v>
      </c>
      <c r="D112" s="950">
        <v>81</v>
      </c>
      <c r="E112" s="952">
        <f t="shared" si="5"/>
        <v>871.8759</v>
      </c>
      <c r="F112" s="944" t="s">
        <v>8</v>
      </c>
      <c r="G112" s="942"/>
      <c r="H112" s="942"/>
      <c r="I112" s="942"/>
      <c r="J112" s="964"/>
      <c r="K112" s="278" t="s">
        <v>63</v>
      </c>
      <c r="L112" s="966"/>
      <c r="M112" s="942"/>
      <c r="N112" s="944" t="s">
        <v>8</v>
      </c>
      <c r="O112" s="944"/>
      <c r="P112" s="954"/>
      <c r="Q112" s="956"/>
      <c r="R112" s="958" t="s">
        <v>171</v>
      </c>
    </row>
    <row r="113" spans="1:18" x14ac:dyDescent="0.35">
      <c r="A113" s="1072"/>
      <c r="B113" s="1020"/>
      <c r="C113" s="949"/>
      <c r="D113" s="951"/>
      <c r="E113" s="953"/>
      <c r="F113" s="945"/>
      <c r="G113" s="943"/>
      <c r="H113" s="943"/>
      <c r="I113" s="943"/>
      <c r="J113" s="965"/>
      <c r="K113" s="278" t="s">
        <v>64</v>
      </c>
      <c r="L113" s="967"/>
      <c r="M113" s="943"/>
      <c r="N113" s="945"/>
      <c r="O113" s="945"/>
      <c r="P113" s="955"/>
      <c r="Q113" s="960"/>
      <c r="R113" s="959"/>
    </row>
    <row r="114" spans="1:18" x14ac:dyDescent="0.35">
      <c r="A114" s="1072"/>
      <c r="B114" s="1020"/>
      <c r="C114" s="948">
        <v>97</v>
      </c>
      <c r="D114" s="950">
        <v>93.4</v>
      </c>
      <c r="E114" s="952">
        <f t="shared" si="5"/>
        <v>1005.34826</v>
      </c>
      <c r="F114" s="944" t="s">
        <v>8</v>
      </c>
      <c r="G114" s="942"/>
      <c r="H114" s="942"/>
      <c r="I114" s="942"/>
      <c r="J114" s="964"/>
      <c r="K114" s="278" t="s">
        <v>63</v>
      </c>
      <c r="L114" s="966"/>
      <c r="M114" s="942"/>
      <c r="N114" s="944" t="s">
        <v>8</v>
      </c>
      <c r="O114" s="944"/>
      <c r="P114" s="954"/>
      <c r="Q114" s="956"/>
      <c r="R114" s="958" t="s">
        <v>171</v>
      </c>
    </row>
    <row r="115" spans="1:18" x14ac:dyDescent="0.35">
      <c r="A115" s="1072"/>
      <c r="B115" s="1020"/>
      <c r="C115" s="1042"/>
      <c r="D115" s="975"/>
      <c r="E115" s="976"/>
      <c r="F115" s="973"/>
      <c r="G115" s="972"/>
      <c r="H115" s="972"/>
      <c r="I115" s="972"/>
      <c r="J115" s="977"/>
      <c r="K115" s="278" t="s">
        <v>64</v>
      </c>
      <c r="L115" s="978"/>
      <c r="M115" s="972"/>
      <c r="N115" s="973"/>
      <c r="O115" s="973"/>
      <c r="P115" s="974"/>
      <c r="Q115" s="957"/>
      <c r="R115" s="961"/>
    </row>
    <row r="116" spans="1:18" x14ac:dyDescent="0.35">
      <c r="A116" s="1072"/>
      <c r="B116" s="1020"/>
      <c r="C116" s="949"/>
      <c r="D116" s="951"/>
      <c r="E116" s="953"/>
      <c r="F116" s="945"/>
      <c r="G116" s="943"/>
      <c r="H116" s="943"/>
      <c r="I116" s="943"/>
      <c r="J116" s="965"/>
      <c r="K116" s="278" t="s">
        <v>218</v>
      </c>
      <c r="L116" s="967"/>
      <c r="M116" s="943"/>
      <c r="N116" s="945"/>
      <c r="O116" s="945"/>
      <c r="P116" s="955"/>
      <c r="Q116" s="960"/>
      <c r="R116" s="959"/>
    </row>
    <row r="117" spans="1:18" x14ac:dyDescent="0.35">
      <c r="A117" s="1072"/>
      <c r="B117" s="1020"/>
      <c r="C117" s="948">
        <v>98</v>
      </c>
      <c r="D117" s="950">
        <v>179.6</v>
      </c>
      <c r="E117" s="952">
        <f t="shared" si="5"/>
        <v>1933.1964399999999</v>
      </c>
      <c r="F117" s="944" t="s">
        <v>8</v>
      </c>
      <c r="G117" s="942"/>
      <c r="H117" s="942"/>
      <c r="I117" s="942"/>
      <c r="J117" s="964"/>
      <c r="K117" s="278" t="s">
        <v>164</v>
      </c>
      <c r="L117" s="966"/>
      <c r="M117" s="942"/>
      <c r="N117" s="942"/>
      <c r="O117" s="944" t="s">
        <v>8</v>
      </c>
      <c r="P117" s="954"/>
      <c r="Q117" s="956" t="s">
        <v>8</v>
      </c>
      <c r="R117" s="958" t="s">
        <v>172</v>
      </c>
    </row>
    <row r="118" spans="1:18" x14ac:dyDescent="0.35">
      <c r="A118" s="1072"/>
      <c r="B118" s="1020"/>
      <c r="C118" s="949"/>
      <c r="D118" s="951"/>
      <c r="E118" s="953"/>
      <c r="F118" s="945"/>
      <c r="G118" s="943"/>
      <c r="H118" s="943"/>
      <c r="I118" s="943"/>
      <c r="J118" s="965"/>
      <c r="K118" s="278" t="s">
        <v>163</v>
      </c>
      <c r="L118" s="967"/>
      <c r="M118" s="943"/>
      <c r="N118" s="943"/>
      <c r="O118" s="945"/>
      <c r="P118" s="955"/>
      <c r="Q118" s="960"/>
      <c r="R118" s="959"/>
    </row>
    <row r="119" spans="1:18" x14ac:dyDescent="0.35">
      <c r="A119" s="1072"/>
      <c r="B119" s="1020"/>
      <c r="C119" s="948">
        <v>99</v>
      </c>
      <c r="D119" s="950">
        <v>83.1</v>
      </c>
      <c r="E119" s="952">
        <f t="shared" si="5"/>
        <v>894.4800899999999</v>
      </c>
      <c r="F119" s="944" t="s">
        <v>8</v>
      </c>
      <c r="G119" s="942"/>
      <c r="H119" s="942"/>
      <c r="I119" s="942"/>
      <c r="J119" s="964"/>
      <c r="K119" s="278" t="s">
        <v>63</v>
      </c>
      <c r="L119" s="966"/>
      <c r="M119" s="942"/>
      <c r="N119" s="944" t="s">
        <v>8</v>
      </c>
      <c r="O119" s="944"/>
      <c r="P119" s="954"/>
      <c r="Q119" s="956"/>
      <c r="R119" s="958" t="s">
        <v>171</v>
      </c>
    </row>
    <row r="120" spans="1:18" x14ac:dyDescent="0.35">
      <c r="A120" s="1072"/>
      <c r="B120" s="1020"/>
      <c r="C120" s="949"/>
      <c r="D120" s="951"/>
      <c r="E120" s="953"/>
      <c r="F120" s="945"/>
      <c r="G120" s="943"/>
      <c r="H120" s="943"/>
      <c r="I120" s="943"/>
      <c r="J120" s="965"/>
      <c r="K120" s="278" t="s">
        <v>64</v>
      </c>
      <c r="L120" s="967"/>
      <c r="M120" s="972"/>
      <c r="N120" s="945"/>
      <c r="O120" s="945"/>
      <c r="P120" s="955"/>
      <c r="Q120" s="960"/>
      <c r="R120" s="959"/>
    </row>
    <row r="121" spans="1:18" x14ac:dyDescent="0.35">
      <c r="A121" s="1072"/>
      <c r="B121" s="1020"/>
      <c r="C121" s="442">
        <v>100</v>
      </c>
      <c r="D121" s="25">
        <v>95</v>
      </c>
      <c r="E121" s="26">
        <f t="shared" si="5"/>
        <v>1022.5704999999999</v>
      </c>
      <c r="F121" s="276" t="s">
        <v>8</v>
      </c>
      <c r="G121" s="276"/>
      <c r="H121" s="276"/>
      <c r="I121" s="276"/>
      <c r="J121" s="277"/>
      <c r="K121" s="278" t="s">
        <v>163</v>
      </c>
      <c r="L121" s="279"/>
      <c r="M121" s="443" t="s">
        <v>8</v>
      </c>
      <c r="N121" s="276"/>
      <c r="O121" s="276"/>
      <c r="P121" s="280"/>
      <c r="Q121" s="359"/>
      <c r="R121" s="372" t="s">
        <v>171</v>
      </c>
    </row>
    <row r="122" spans="1:18" x14ac:dyDescent="0.35">
      <c r="A122" s="1072"/>
      <c r="B122" s="1020"/>
      <c r="C122" s="442">
        <v>101</v>
      </c>
      <c r="D122" s="25">
        <v>95</v>
      </c>
      <c r="E122" s="26">
        <f t="shared" si="5"/>
        <v>1022.5704999999999</v>
      </c>
      <c r="F122" s="276" t="s">
        <v>8</v>
      </c>
      <c r="G122" s="276"/>
      <c r="H122" s="276"/>
      <c r="I122" s="276"/>
      <c r="J122" s="277"/>
      <c r="K122" s="278" t="s">
        <v>163</v>
      </c>
      <c r="L122" s="279"/>
      <c r="M122" s="443" t="s">
        <v>8</v>
      </c>
      <c r="N122" s="276"/>
      <c r="O122" s="276"/>
      <c r="P122" s="280"/>
      <c r="Q122" s="359"/>
      <c r="R122" s="372" t="s">
        <v>171</v>
      </c>
    </row>
    <row r="123" spans="1:18" x14ac:dyDescent="0.35">
      <c r="A123" s="1072"/>
      <c r="B123" s="1020"/>
      <c r="C123" s="948">
        <v>102</v>
      </c>
      <c r="D123" s="950">
        <v>83.1</v>
      </c>
      <c r="E123" s="952">
        <f t="shared" si="5"/>
        <v>894.4800899999999</v>
      </c>
      <c r="F123" s="944" t="s">
        <v>8</v>
      </c>
      <c r="G123" s="944"/>
      <c r="H123" s="942"/>
      <c r="I123" s="942"/>
      <c r="J123" s="964"/>
      <c r="K123" s="278" t="s">
        <v>63</v>
      </c>
      <c r="L123" s="966"/>
      <c r="M123" s="942"/>
      <c r="N123" s="944" t="s">
        <v>8</v>
      </c>
      <c r="O123" s="944"/>
      <c r="P123" s="954"/>
      <c r="Q123" s="956"/>
      <c r="R123" s="958" t="s">
        <v>171</v>
      </c>
    </row>
    <row r="124" spans="1:18" x14ac:dyDescent="0.35">
      <c r="A124" s="1072"/>
      <c r="B124" s="1020"/>
      <c r="C124" s="949"/>
      <c r="D124" s="951"/>
      <c r="E124" s="953"/>
      <c r="F124" s="945"/>
      <c r="G124" s="945"/>
      <c r="H124" s="943"/>
      <c r="I124" s="943"/>
      <c r="J124" s="965"/>
      <c r="K124" s="278" t="s">
        <v>64</v>
      </c>
      <c r="L124" s="967"/>
      <c r="M124" s="943"/>
      <c r="N124" s="945"/>
      <c r="O124" s="945"/>
      <c r="P124" s="955"/>
      <c r="Q124" s="960"/>
      <c r="R124" s="959"/>
    </row>
    <row r="125" spans="1:18" x14ac:dyDescent="0.35">
      <c r="A125" s="1072"/>
      <c r="B125" s="1020"/>
      <c r="C125" s="442">
        <v>103</v>
      </c>
      <c r="D125" s="25">
        <v>103.6</v>
      </c>
      <c r="E125" s="26">
        <f t="shared" si="5"/>
        <v>1115.14004</v>
      </c>
      <c r="F125" s="276" t="s">
        <v>8</v>
      </c>
      <c r="G125" s="276"/>
      <c r="H125" s="276"/>
      <c r="I125" s="276"/>
      <c r="J125" s="277"/>
      <c r="K125" s="278" t="s">
        <v>63</v>
      </c>
      <c r="L125" s="279"/>
      <c r="M125" s="276"/>
      <c r="N125" s="276" t="s">
        <v>8</v>
      </c>
      <c r="O125" s="276"/>
      <c r="P125" s="280"/>
      <c r="Q125" s="359"/>
      <c r="R125" s="372" t="s">
        <v>171</v>
      </c>
    </row>
    <row r="126" spans="1:18" x14ac:dyDescent="0.35">
      <c r="A126" s="1072"/>
      <c r="B126" s="1020"/>
      <c r="C126" s="442">
        <v>104</v>
      </c>
      <c r="D126" s="25">
        <v>94.4</v>
      </c>
      <c r="E126" s="26">
        <f t="shared" si="5"/>
        <v>1016.11216</v>
      </c>
      <c r="F126" s="276" t="s">
        <v>8</v>
      </c>
      <c r="G126" s="276"/>
      <c r="H126" s="276"/>
      <c r="I126" s="276"/>
      <c r="J126" s="277"/>
      <c r="K126" s="278" t="s">
        <v>65</v>
      </c>
      <c r="L126" s="279"/>
      <c r="M126" s="276" t="s">
        <v>8</v>
      </c>
      <c r="N126" s="276"/>
      <c r="O126" s="276"/>
      <c r="P126" s="280"/>
      <c r="Q126" s="361"/>
      <c r="R126" s="371" t="s">
        <v>170</v>
      </c>
    </row>
    <row r="127" spans="1:18" x14ac:dyDescent="0.35">
      <c r="A127" s="1072"/>
      <c r="B127" s="1020"/>
      <c r="C127" s="948">
        <v>105</v>
      </c>
      <c r="D127" s="950">
        <v>120.7</v>
      </c>
      <c r="E127" s="952">
        <f t="shared" si="5"/>
        <v>1299.20273</v>
      </c>
      <c r="F127" s="944" t="s">
        <v>8</v>
      </c>
      <c r="G127" s="942"/>
      <c r="H127" s="942"/>
      <c r="I127" s="942"/>
      <c r="J127" s="964"/>
      <c r="K127" s="278" t="s">
        <v>63</v>
      </c>
      <c r="L127" s="966"/>
      <c r="M127" s="942"/>
      <c r="N127" s="942"/>
      <c r="O127" s="944" t="s">
        <v>8</v>
      </c>
      <c r="P127" s="954"/>
      <c r="Q127" s="956"/>
      <c r="R127" s="958" t="s">
        <v>171</v>
      </c>
    </row>
    <row r="128" spans="1:18" x14ac:dyDescent="0.35">
      <c r="A128" s="1072"/>
      <c r="B128" s="1020"/>
      <c r="C128" s="949"/>
      <c r="D128" s="951"/>
      <c r="E128" s="953"/>
      <c r="F128" s="945"/>
      <c r="G128" s="943"/>
      <c r="H128" s="943"/>
      <c r="I128" s="943"/>
      <c r="J128" s="965"/>
      <c r="K128" s="278" t="s">
        <v>163</v>
      </c>
      <c r="L128" s="967"/>
      <c r="M128" s="943"/>
      <c r="N128" s="943"/>
      <c r="O128" s="945"/>
      <c r="P128" s="955"/>
      <c r="Q128" s="957"/>
      <c r="R128" s="959"/>
    </row>
    <row r="129" spans="1:18" x14ac:dyDescent="0.35">
      <c r="A129" s="1072"/>
      <c r="B129" s="1020"/>
      <c r="C129" s="442">
        <v>106</v>
      </c>
      <c r="D129" s="25">
        <v>89.4</v>
      </c>
      <c r="E129" s="26">
        <f t="shared" si="5"/>
        <v>962.29266000000007</v>
      </c>
      <c r="F129" s="276" t="s">
        <v>8</v>
      </c>
      <c r="G129" s="276"/>
      <c r="H129" s="276"/>
      <c r="I129" s="276"/>
      <c r="J129" s="277"/>
      <c r="K129" s="278" t="s">
        <v>63</v>
      </c>
      <c r="L129" s="279"/>
      <c r="M129" s="276"/>
      <c r="N129" s="276" t="s">
        <v>8</v>
      </c>
      <c r="O129" s="276"/>
      <c r="P129" s="280"/>
      <c r="Q129" s="361"/>
      <c r="R129" s="372" t="s">
        <v>171</v>
      </c>
    </row>
    <row r="130" spans="1:18" x14ac:dyDescent="0.35">
      <c r="A130" s="1072"/>
      <c r="B130" s="1020"/>
      <c r="C130" s="442">
        <v>107</v>
      </c>
      <c r="D130" s="25">
        <v>82.5</v>
      </c>
      <c r="E130" s="26">
        <f t="shared" si="5"/>
        <v>888.02175</v>
      </c>
      <c r="F130" s="276"/>
      <c r="G130" s="276" t="s">
        <v>8</v>
      </c>
      <c r="H130" s="276"/>
      <c r="I130" s="276"/>
      <c r="J130" s="277"/>
      <c r="K130" s="278" t="s">
        <v>163</v>
      </c>
      <c r="L130" s="279"/>
      <c r="M130" s="276" t="s">
        <v>8</v>
      </c>
      <c r="N130" s="276"/>
      <c r="O130" s="276"/>
      <c r="P130" s="280"/>
      <c r="Q130" s="359"/>
      <c r="R130" s="371" t="s">
        <v>170</v>
      </c>
    </row>
    <row r="131" spans="1:18" x14ac:dyDescent="0.35">
      <c r="A131" s="1072"/>
      <c r="B131" s="1020"/>
      <c r="C131" s="442">
        <v>108</v>
      </c>
      <c r="D131" s="25">
        <v>108</v>
      </c>
      <c r="E131" s="26">
        <f t="shared" si="5"/>
        <v>1162.5011999999999</v>
      </c>
      <c r="F131" s="276" t="s">
        <v>8</v>
      </c>
      <c r="G131" s="276"/>
      <c r="H131" s="276"/>
      <c r="I131" s="276"/>
      <c r="J131" s="277"/>
      <c r="K131" s="278" t="s">
        <v>163</v>
      </c>
      <c r="L131" s="279"/>
      <c r="M131" s="276"/>
      <c r="N131" s="276" t="s">
        <v>8</v>
      </c>
      <c r="O131" s="276"/>
      <c r="P131" s="280"/>
      <c r="Q131" s="360" t="s">
        <v>8</v>
      </c>
      <c r="R131" s="372" t="s">
        <v>171</v>
      </c>
    </row>
    <row r="132" spans="1:18" x14ac:dyDescent="0.35">
      <c r="A132" s="1072"/>
      <c r="B132" s="1020"/>
      <c r="C132" s="442">
        <v>109</v>
      </c>
      <c r="D132" s="25">
        <v>108</v>
      </c>
      <c r="E132" s="26">
        <f t="shared" si="5"/>
        <v>1162.5011999999999</v>
      </c>
      <c r="F132" s="276" t="s">
        <v>8</v>
      </c>
      <c r="G132" s="276"/>
      <c r="H132" s="276"/>
      <c r="I132" s="276"/>
      <c r="J132" s="277"/>
      <c r="K132" s="278" t="s">
        <v>163</v>
      </c>
      <c r="L132" s="279"/>
      <c r="M132" s="276"/>
      <c r="N132" s="276" t="s">
        <v>8</v>
      </c>
      <c r="O132" s="276"/>
      <c r="P132" s="280"/>
      <c r="Q132" s="360"/>
      <c r="R132" s="372" t="s">
        <v>171</v>
      </c>
    </row>
    <row r="133" spans="1:18" x14ac:dyDescent="0.35">
      <c r="A133" s="1072"/>
      <c r="B133" s="1020"/>
      <c r="C133" s="442">
        <v>110</v>
      </c>
      <c r="D133" s="25">
        <v>72.900000000000006</v>
      </c>
      <c r="E133" s="26">
        <f t="shared" si="5"/>
        <v>784.68831</v>
      </c>
      <c r="F133" s="276"/>
      <c r="G133" s="276"/>
      <c r="H133" s="276" t="s">
        <v>8</v>
      </c>
      <c r="I133" s="276"/>
      <c r="J133" s="277"/>
      <c r="K133" s="278" t="s">
        <v>163</v>
      </c>
      <c r="L133" s="279"/>
      <c r="M133" s="276" t="s">
        <v>8</v>
      </c>
      <c r="N133" s="276"/>
      <c r="O133" s="276"/>
      <c r="P133" s="280"/>
      <c r="Q133" s="361"/>
      <c r="R133" s="371" t="s">
        <v>170</v>
      </c>
    </row>
    <row r="134" spans="1:18" x14ac:dyDescent="0.35">
      <c r="A134" s="1072"/>
      <c r="B134" s="1020"/>
      <c r="C134" s="442">
        <v>111</v>
      </c>
      <c r="D134" s="25">
        <v>72.900000000000006</v>
      </c>
      <c r="E134" s="26">
        <f t="shared" si="5"/>
        <v>784.68831</v>
      </c>
      <c r="F134" s="276"/>
      <c r="G134" s="276"/>
      <c r="H134" s="276" t="s">
        <v>8</v>
      </c>
      <c r="I134" s="276"/>
      <c r="J134" s="277"/>
      <c r="K134" s="278" t="s">
        <v>63</v>
      </c>
      <c r="L134" s="279"/>
      <c r="M134" s="276" t="s">
        <v>8</v>
      </c>
      <c r="N134" s="276"/>
      <c r="O134" s="276"/>
      <c r="P134" s="280"/>
      <c r="Q134" s="359"/>
      <c r="R134" s="371" t="s">
        <v>170</v>
      </c>
    </row>
    <row r="135" spans="1:18" x14ac:dyDescent="0.35">
      <c r="A135" s="1072"/>
      <c r="B135" s="1020"/>
      <c r="C135" s="442">
        <v>112</v>
      </c>
      <c r="D135" s="25">
        <v>100.4</v>
      </c>
      <c r="E135" s="26">
        <f t="shared" si="5"/>
        <v>1080.6955600000001</v>
      </c>
      <c r="F135" s="276"/>
      <c r="G135" s="276"/>
      <c r="H135" s="276" t="s">
        <v>8</v>
      </c>
      <c r="I135" s="276"/>
      <c r="J135" s="277"/>
      <c r="K135" s="278" t="s">
        <v>63</v>
      </c>
      <c r="L135" s="279"/>
      <c r="M135" s="276"/>
      <c r="N135" s="276" t="s">
        <v>8</v>
      </c>
      <c r="O135" s="276"/>
      <c r="P135" s="280"/>
      <c r="Q135" s="359" t="s">
        <v>8</v>
      </c>
      <c r="R135" s="371" t="s">
        <v>170</v>
      </c>
    </row>
    <row r="136" spans="1:18" x14ac:dyDescent="0.35">
      <c r="A136" s="1072"/>
      <c r="B136" s="1020"/>
      <c r="C136" s="948">
        <v>113</v>
      </c>
      <c r="D136" s="950">
        <v>79.2</v>
      </c>
      <c r="E136" s="952">
        <f t="shared" si="5"/>
        <v>852.50088000000005</v>
      </c>
      <c r="F136" s="944"/>
      <c r="G136" s="944"/>
      <c r="H136" s="944" t="s">
        <v>8</v>
      </c>
      <c r="I136" s="942"/>
      <c r="J136" s="964"/>
      <c r="K136" s="278" t="s">
        <v>66</v>
      </c>
      <c r="L136" s="966"/>
      <c r="M136" s="944" t="s">
        <v>8</v>
      </c>
      <c r="N136" s="942"/>
      <c r="O136" s="942"/>
      <c r="P136" s="968"/>
      <c r="Q136" s="970"/>
      <c r="R136" s="961" t="s">
        <v>170</v>
      </c>
    </row>
    <row r="137" spans="1:18" x14ac:dyDescent="0.35">
      <c r="A137" s="1072"/>
      <c r="B137" s="1020"/>
      <c r="C137" s="949"/>
      <c r="D137" s="951"/>
      <c r="E137" s="953"/>
      <c r="F137" s="945"/>
      <c r="G137" s="945"/>
      <c r="H137" s="945"/>
      <c r="I137" s="943"/>
      <c r="J137" s="965"/>
      <c r="K137" s="278" t="s">
        <v>66</v>
      </c>
      <c r="L137" s="967"/>
      <c r="M137" s="945"/>
      <c r="N137" s="943"/>
      <c r="O137" s="943"/>
      <c r="P137" s="969"/>
      <c r="Q137" s="971"/>
      <c r="R137" s="961"/>
    </row>
    <row r="138" spans="1:18" x14ac:dyDescent="0.35">
      <c r="A138" s="1072"/>
      <c r="B138" s="1020"/>
      <c r="C138" s="442">
        <v>114</v>
      </c>
      <c r="D138" s="25">
        <v>100.4</v>
      </c>
      <c r="E138" s="26">
        <f t="shared" si="5"/>
        <v>1080.6955600000001</v>
      </c>
      <c r="F138" s="276"/>
      <c r="G138" s="276"/>
      <c r="H138" s="276" t="s">
        <v>8</v>
      </c>
      <c r="I138" s="276"/>
      <c r="J138" s="277"/>
      <c r="K138" s="278" t="s">
        <v>64</v>
      </c>
      <c r="L138" s="279"/>
      <c r="M138" s="276"/>
      <c r="N138" s="276" t="s">
        <v>8</v>
      </c>
      <c r="O138" s="276"/>
      <c r="P138" s="280"/>
      <c r="Q138" s="359"/>
      <c r="R138" s="371" t="s">
        <v>170</v>
      </c>
    </row>
    <row r="139" spans="1:18" x14ac:dyDescent="0.35">
      <c r="A139" s="1072"/>
      <c r="B139" s="1021"/>
      <c r="C139" s="442">
        <v>115</v>
      </c>
      <c r="D139" s="25">
        <v>79</v>
      </c>
      <c r="E139" s="26">
        <f t="shared" si="5"/>
        <v>850.34809999999993</v>
      </c>
      <c r="F139" s="276"/>
      <c r="G139" s="276"/>
      <c r="H139" s="276" t="s">
        <v>8</v>
      </c>
      <c r="I139" s="276"/>
      <c r="J139" s="277"/>
      <c r="K139" s="278" t="s">
        <v>64</v>
      </c>
      <c r="L139" s="279"/>
      <c r="M139" s="276" t="s">
        <v>8</v>
      </c>
      <c r="N139" s="276"/>
      <c r="O139" s="276"/>
      <c r="P139" s="280"/>
      <c r="Q139" s="359"/>
      <c r="R139" s="371" t="s">
        <v>170</v>
      </c>
    </row>
    <row r="140" spans="1:18" x14ac:dyDescent="0.35">
      <c r="A140" s="1072"/>
      <c r="B140" s="1015" t="s">
        <v>21</v>
      </c>
      <c r="C140" s="442">
        <v>116</v>
      </c>
      <c r="D140" s="25">
        <v>87.7</v>
      </c>
      <c r="E140" s="26">
        <f t="shared" si="5"/>
        <v>943.99402999999995</v>
      </c>
      <c r="F140" s="276"/>
      <c r="G140" s="276" t="s">
        <v>8</v>
      </c>
      <c r="H140" s="276"/>
      <c r="I140" s="276"/>
      <c r="J140" s="277"/>
      <c r="K140" s="278" t="s">
        <v>63</v>
      </c>
      <c r="L140" s="279"/>
      <c r="M140" s="276" t="s">
        <v>8</v>
      </c>
      <c r="N140" s="276"/>
      <c r="O140" s="276"/>
      <c r="P140" s="280"/>
      <c r="Q140" s="359"/>
      <c r="R140" s="371" t="s">
        <v>170</v>
      </c>
    </row>
    <row r="141" spans="1:18" x14ac:dyDescent="0.35">
      <c r="A141" s="1072"/>
      <c r="B141" s="1016"/>
      <c r="C141" s="948">
        <v>117</v>
      </c>
      <c r="D141" s="950">
        <v>83.1</v>
      </c>
      <c r="E141" s="952">
        <f>SUM(D141*10.7639)</f>
        <v>894.4800899999999</v>
      </c>
      <c r="F141" s="944" t="s">
        <v>8</v>
      </c>
      <c r="G141" s="944"/>
      <c r="H141" s="942"/>
      <c r="I141" s="942"/>
      <c r="J141" s="964"/>
      <c r="K141" s="278" t="s">
        <v>63</v>
      </c>
      <c r="L141" s="966"/>
      <c r="M141" s="942"/>
      <c r="N141" s="944" t="s">
        <v>8</v>
      </c>
      <c r="O141" s="942"/>
      <c r="P141" s="968"/>
      <c r="Q141" s="970"/>
      <c r="R141" s="958" t="s">
        <v>171</v>
      </c>
    </row>
    <row r="142" spans="1:18" x14ac:dyDescent="0.35">
      <c r="A142" s="1072"/>
      <c r="B142" s="1016"/>
      <c r="C142" s="949"/>
      <c r="D142" s="951"/>
      <c r="E142" s="953"/>
      <c r="F142" s="945"/>
      <c r="G142" s="945"/>
      <c r="H142" s="943"/>
      <c r="I142" s="943"/>
      <c r="J142" s="965"/>
      <c r="K142" s="278" t="s">
        <v>64</v>
      </c>
      <c r="L142" s="967"/>
      <c r="M142" s="943"/>
      <c r="N142" s="945"/>
      <c r="O142" s="943"/>
      <c r="P142" s="969"/>
      <c r="Q142" s="971"/>
      <c r="R142" s="959"/>
    </row>
    <row r="143" spans="1:18" x14ac:dyDescent="0.35">
      <c r="A143" s="1072"/>
      <c r="B143" s="1016"/>
      <c r="C143" s="442">
        <v>118</v>
      </c>
      <c r="D143" s="25">
        <v>95</v>
      </c>
      <c r="E143" s="26">
        <f t="shared" si="5"/>
        <v>1022.5704999999999</v>
      </c>
      <c r="F143" s="276" t="s">
        <v>8</v>
      </c>
      <c r="G143" s="276"/>
      <c r="H143" s="276"/>
      <c r="I143" s="276"/>
      <c r="J143" s="277"/>
      <c r="K143" s="278" t="s">
        <v>65</v>
      </c>
      <c r="L143" s="279"/>
      <c r="M143" s="276" t="s">
        <v>8</v>
      </c>
      <c r="N143" s="276"/>
      <c r="O143" s="276"/>
      <c r="P143" s="280"/>
      <c r="Q143" s="359"/>
      <c r="R143" s="372" t="s">
        <v>171</v>
      </c>
    </row>
    <row r="144" spans="1:18" x14ac:dyDescent="0.35">
      <c r="A144" s="1072"/>
      <c r="B144" s="1016"/>
      <c r="C144" s="442">
        <v>119</v>
      </c>
      <c r="D144" s="25">
        <v>95</v>
      </c>
      <c r="E144" s="26">
        <f t="shared" si="5"/>
        <v>1022.5704999999999</v>
      </c>
      <c r="F144" s="276" t="s">
        <v>8</v>
      </c>
      <c r="G144" s="276"/>
      <c r="H144" s="276"/>
      <c r="I144" s="276"/>
      <c r="J144" s="277"/>
      <c r="K144" s="278" t="s">
        <v>65</v>
      </c>
      <c r="L144" s="279"/>
      <c r="M144" s="276" t="s">
        <v>8</v>
      </c>
      <c r="N144" s="276"/>
      <c r="O144" s="276"/>
      <c r="P144" s="280"/>
      <c r="Q144" s="361"/>
      <c r="R144" s="372" t="s">
        <v>171</v>
      </c>
    </row>
    <row r="145" spans="1:18" x14ac:dyDescent="0.35">
      <c r="A145" s="1072"/>
      <c r="B145" s="1016"/>
      <c r="C145" s="948">
        <v>120</v>
      </c>
      <c r="D145" s="950">
        <v>83.1</v>
      </c>
      <c r="E145" s="952">
        <f t="shared" si="5"/>
        <v>894.4800899999999</v>
      </c>
      <c r="F145" s="944" t="s">
        <v>8</v>
      </c>
      <c r="G145" s="942"/>
      <c r="H145" s="942"/>
      <c r="I145" s="942"/>
      <c r="J145" s="964"/>
      <c r="K145" s="469" t="s">
        <v>63</v>
      </c>
      <c r="L145" s="966"/>
      <c r="M145" s="942"/>
      <c r="N145" s="944" t="s">
        <v>8</v>
      </c>
      <c r="O145" s="944"/>
      <c r="P145" s="954"/>
      <c r="Q145" s="956"/>
      <c r="R145" s="958" t="s">
        <v>171</v>
      </c>
    </row>
    <row r="146" spans="1:18" x14ac:dyDescent="0.35">
      <c r="A146" s="1072"/>
      <c r="B146" s="1016"/>
      <c r="C146" s="949"/>
      <c r="D146" s="951"/>
      <c r="E146" s="953"/>
      <c r="F146" s="945"/>
      <c r="G146" s="943"/>
      <c r="H146" s="943"/>
      <c r="I146" s="943"/>
      <c r="J146" s="965"/>
      <c r="K146" s="278" t="s">
        <v>64</v>
      </c>
      <c r="L146" s="967"/>
      <c r="M146" s="943"/>
      <c r="N146" s="945"/>
      <c r="O146" s="945"/>
      <c r="P146" s="955"/>
      <c r="Q146" s="960"/>
      <c r="R146" s="959"/>
    </row>
    <row r="147" spans="1:18" x14ac:dyDescent="0.35">
      <c r="A147" s="1072"/>
      <c r="B147" s="1016"/>
      <c r="C147" s="442">
        <v>121</v>
      </c>
      <c r="D147" s="25">
        <v>77.5</v>
      </c>
      <c r="E147" s="26">
        <f t="shared" si="5"/>
        <v>834.20224999999994</v>
      </c>
      <c r="F147" s="276" t="s">
        <v>8</v>
      </c>
      <c r="G147" s="276"/>
      <c r="H147" s="276"/>
      <c r="I147" s="276"/>
      <c r="J147" s="277"/>
      <c r="K147" s="278" t="s">
        <v>65</v>
      </c>
      <c r="L147" s="279"/>
      <c r="M147" s="276" t="s">
        <v>8</v>
      </c>
      <c r="N147" s="276"/>
      <c r="O147" s="276"/>
      <c r="P147" s="280"/>
      <c r="Q147" s="359"/>
      <c r="R147" s="372" t="s">
        <v>171</v>
      </c>
    </row>
    <row r="148" spans="1:18" x14ac:dyDescent="0.35">
      <c r="A148" s="1072"/>
      <c r="B148" s="1016"/>
      <c r="C148" s="442">
        <v>122</v>
      </c>
      <c r="D148" s="25">
        <v>77.5</v>
      </c>
      <c r="E148" s="26">
        <f t="shared" si="5"/>
        <v>834.20224999999994</v>
      </c>
      <c r="F148" s="276" t="s">
        <v>8</v>
      </c>
      <c r="G148" s="276"/>
      <c r="H148" s="276"/>
      <c r="I148" s="276"/>
      <c r="J148" s="277"/>
      <c r="K148" s="278" t="s">
        <v>65</v>
      </c>
      <c r="L148" s="279"/>
      <c r="M148" s="276" t="s">
        <v>8</v>
      </c>
      <c r="N148" s="276"/>
      <c r="O148" s="276"/>
      <c r="P148" s="280"/>
      <c r="Q148" s="359"/>
      <c r="R148" s="372" t="s">
        <v>171</v>
      </c>
    </row>
    <row r="149" spans="1:18" x14ac:dyDescent="0.35">
      <c r="A149" s="1072"/>
      <c r="B149" s="1016"/>
      <c r="C149" s="442">
        <v>123</v>
      </c>
      <c r="D149" s="25">
        <v>77.5</v>
      </c>
      <c r="E149" s="26">
        <f t="shared" si="5"/>
        <v>834.20224999999994</v>
      </c>
      <c r="F149" s="276" t="s">
        <v>8</v>
      </c>
      <c r="G149" s="276"/>
      <c r="H149" s="276"/>
      <c r="I149" s="276"/>
      <c r="J149" s="277"/>
      <c r="K149" s="278" t="s">
        <v>65</v>
      </c>
      <c r="L149" s="279"/>
      <c r="M149" s="276" t="s">
        <v>8</v>
      </c>
      <c r="N149" s="276"/>
      <c r="O149" s="276"/>
      <c r="P149" s="280"/>
      <c r="Q149" s="359"/>
      <c r="R149" s="372" t="s">
        <v>171</v>
      </c>
    </row>
    <row r="150" spans="1:18" x14ac:dyDescent="0.35">
      <c r="A150" s="1072"/>
      <c r="B150" s="1016"/>
      <c r="C150" s="442">
        <v>124</v>
      </c>
      <c r="D150" s="25">
        <v>99</v>
      </c>
      <c r="E150" s="26">
        <f t="shared" si="5"/>
        <v>1065.6261</v>
      </c>
      <c r="F150" s="276"/>
      <c r="G150" s="276" t="s">
        <v>8</v>
      </c>
      <c r="H150" s="276"/>
      <c r="I150" s="276"/>
      <c r="J150" s="277"/>
      <c r="K150" s="278" t="s">
        <v>65</v>
      </c>
      <c r="L150" s="279"/>
      <c r="M150" s="276" t="s">
        <v>8</v>
      </c>
      <c r="N150" s="276"/>
      <c r="O150" s="276"/>
      <c r="P150" s="280"/>
      <c r="Q150" s="359"/>
      <c r="R150" s="371" t="s">
        <v>170</v>
      </c>
    </row>
    <row r="151" spans="1:18" x14ac:dyDescent="0.35">
      <c r="A151" s="1072"/>
      <c r="B151" s="1016"/>
      <c r="C151" s="442">
        <v>125</v>
      </c>
      <c r="D151" s="25">
        <v>75.3</v>
      </c>
      <c r="E151" s="26">
        <f t="shared" si="5"/>
        <v>810.52166999999997</v>
      </c>
      <c r="F151" s="276" t="s">
        <v>8</v>
      </c>
      <c r="G151" s="276"/>
      <c r="H151" s="276"/>
      <c r="I151" s="276"/>
      <c r="J151" s="277"/>
      <c r="K151" s="278" t="s">
        <v>65</v>
      </c>
      <c r="L151" s="279"/>
      <c r="M151" s="276" t="s">
        <v>8</v>
      </c>
      <c r="N151" s="276"/>
      <c r="O151" s="276"/>
      <c r="P151" s="280"/>
      <c r="Q151" s="359"/>
      <c r="R151" s="372" t="s">
        <v>171</v>
      </c>
    </row>
    <row r="152" spans="1:18" x14ac:dyDescent="0.35">
      <c r="A152" s="1072"/>
      <c r="B152" s="1016"/>
      <c r="C152" s="442">
        <v>126</v>
      </c>
      <c r="D152" s="25">
        <v>75.3</v>
      </c>
      <c r="E152" s="26">
        <f t="shared" si="5"/>
        <v>810.52166999999997</v>
      </c>
      <c r="F152" s="276" t="s">
        <v>8</v>
      </c>
      <c r="G152" s="276"/>
      <c r="H152" s="276"/>
      <c r="I152" s="276"/>
      <c r="J152" s="277"/>
      <c r="K152" s="278" t="s">
        <v>65</v>
      </c>
      <c r="L152" s="279"/>
      <c r="M152" s="276" t="s">
        <v>8</v>
      </c>
      <c r="N152" s="276"/>
      <c r="O152" s="276"/>
      <c r="P152" s="280"/>
      <c r="Q152" s="359"/>
      <c r="R152" s="372" t="s">
        <v>171</v>
      </c>
    </row>
    <row r="153" spans="1:18" x14ac:dyDescent="0.35">
      <c r="A153" s="1072"/>
      <c r="B153" s="1016"/>
      <c r="C153" s="442">
        <v>127</v>
      </c>
      <c r="D153" s="25">
        <v>75.3</v>
      </c>
      <c r="E153" s="26">
        <f t="shared" si="5"/>
        <v>810.52166999999997</v>
      </c>
      <c r="F153" s="276" t="s">
        <v>8</v>
      </c>
      <c r="G153" s="276"/>
      <c r="H153" s="276"/>
      <c r="I153" s="276"/>
      <c r="J153" s="277"/>
      <c r="K153" s="278" t="s">
        <v>65</v>
      </c>
      <c r="L153" s="279"/>
      <c r="M153" s="276" t="s">
        <v>8</v>
      </c>
      <c r="N153" s="276"/>
      <c r="O153" s="276"/>
      <c r="P153" s="280"/>
      <c r="Q153" s="359"/>
      <c r="R153" s="372" t="s">
        <v>171</v>
      </c>
    </row>
    <row r="154" spans="1:18" x14ac:dyDescent="0.35">
      <c r="A154" s="1072"/>
      <c r="B154" s="1016"/>
      <c r="C154" s="442">
        <v>128</v>
      </c>
      <c r="D154" s="25">
        <v>70.599999999999994</v>
      </c>
      <c r="E154" s="26">
        <f t="shared" si="5"/>
        <v>759.93133999999986</v>
      </c>
      <c r="F154" s="276" t="s">
        <v>8</v>
      </c>
      <c r="G154" s="276"/>
      <c r="H154" s="276"/>
      <c r="I154" s="276"/>
      <c r="J154" s="277"/>
      <c r="K154" s="278" t="s">
        <v>65</v>
      </c>
      <c r="L154" s="279"/>
      <c r="M154" s="276" t="s">
        <v>8</v>
      </c>
      <c r="N154" s="276"/>
      <c r="O154" s="276"/>
      <c r="P154" s="280"/>
      <c r="Q154" s="359"/>
      <c r="R154" s="371" t="s">
        <v>170</v>
      </c>
    </row>
    <row r="155" spans="1:18" x14ac:dyDescent="0.35">
      <c r="A155" s="1072"/>
      <c r="B155" s="1016"/>
      <c r="C155" s="442">
        <v>129</v>
      </c>
      <c r="D155" s="25">
        <v>91.4</v>
      </c>
      <c r="E155" s="26">
        <f t="shared" si="5"/>
        <v>983.82046000000003</v>
      </c>
      <c r="F155" s="276" t="s">
        <v>8</v>
      </c>
      <c r="G155" s="276"/>
      <c r="H155" s="276"/>
      <c r="I155" s="276"/>
      <c r="J155" s="277"/>
      <c r="K155" s="278" t="s">
        <v>63</v>
      </c>
      <c r="L155" s="279"/>
      <c r="M155" s="276"/>
      <c r="N155" s="276" t="s">
        <v>8</v>
      </c>
      <c r="O155" s="276"/>
      <c r="P155" s="280"/>
      <c r="Q155" s="359"/>
      <c r="R155" s="372" t="s">
        <v>171</v>
      </c>
    </row>
    <row r="156" spans="1:18" x14ac:dyDescent="0.35">
      <c r="A156" s="1072"/>
      <c r="B156" s="1016"/>
      <c r="C156" s="948">
        <v>130</v>
      </c>
      <c r="D156" s="950">
        <v>108.2</v>
      </c>
      <c r="E156" s="952">
        <f>SUM(D156*10.7639)</f>
        <v>1164.65398</v>
      </c>
      <c r="F156" s="944" t="s">
        <v>8</v>
      </c>
      <c r="G156" s="942"/>
      <c r="H156" s="942"/>
      <c r="I156" s="942"/>
      <c r="J156" s="964"/>
      <c r="K156" s="278" t="s">
        <v>63</v>
      </c>
      <c r="L156" s="966"/>
      <c r="M156" s="942"/>
      <c r="N156" s="944" t="s">
        <v>8</v>
      </c>
      <c r="O156" s="944"/>
      <c r="P156" s="954"/>
      <c r="Q156" s="956"/>
      <c r="R156" s="958" t="s">
        <v>171</v>
      </c>
    </row>
    <row r="157" spans="1:18" x14ac:dyDescent="0.35">
      <c r="A157" s="1072"/>
      <c r="B157" s="1016"/>
      <c r="C157" s="949"/>
      <c r="D157" s="951"/>
      <c r="E157" s="953"/>
      <c r="F157" s="945"/>
      <c r="G157" s="943"/>
      <c r="H157" s="943"/>
      <c r="I157" s="943"/>
      <c r="J157" s="965"/>
      <c r="K157" s="278" t="s">
        <v>66</v>
      </c>
      <c r="L157" s="967"/>
      <c r="M157" s="943"/>
      <c r="N157" s="945"/>
      <c r="O157" s="945"/>
      <c r="P157" s="955"/>
      <c r="Q157" s="957"/>
      <c r="R157" s="959"/>
    </row>
    <row r="158" spans="1:18" x14ac:dyDescent="0.35">
      <c r="A158" s="1072"/>
      <c r="B158" s="1016"/>
      <c r="C158" s="948">
        <v>131</v>
      </c>
      <c r="D158" s="950">
        <v>127.5</v>
      </c>
      <c r="E158" s="952">
        <f>SUM(D158*10.7639)</f>
        <v>1372.39725</v>
      </c>
      <c r="F158" s="944" t="s">
        <v>8</v>
      </c>
      <c r="G158" s="942"/>
      <c r="H158" s="942"/>
      <c r="I158" s="942"/>
      <c r="J158" s="964"/>
      <c r="K158" s="278" t="s">
        <v>64</v>
      </c>
      <c r="L158" s="966"/>
      <c r="M158" s="942"/>
      <c r="N158" s="942"/>
      <c r="O158" s="944" t="s">
        <v>8</v>
      </c>
      <c r="P158" s="954"/>
      <c r="Q158" s="957"/>
      <c r="R158" s="958" t="s">
        <v>171</v>
      </c>
    </row>
    <row r="159" spans="1:18" x14ac:dyDescent="0.35">
      <c r="A159" s="1072"/>
      <c r="B159" s="1016"/>
      <c r="C159" s="949"/>
      <c r="D159" s="951"/>
      <c r="E159" s="953"/>
      <c r="F159" s="945"/>
      <c r="G159" s="943"/>
      <c r="H159" s="943"/>
      <c r="I159" s="943"/>
      <c r="J159" s="965"/>
      <c r="K159" s="278" t="s">
        <v>218</v>
      </c>
      <c r="L159" s="967"/>
      <c r="M159" s="943"/>
      <c r="N159" s="943"/>
      <c r="O159" s="945"/>
      <c r="P159" s="955"/>
      <c r="Q159" s="960"/>
      <c r="R159" s="959"/>
    </row>
    <row r="160" spans="1:18" x14ac:dyDescent="0.35">
      <c r="A160" s="1072"/>
      <c r="B160" s="1016"/>
      <c r="C160" s="948">
        <v>132</v>
      </c>
      <c r="D160" s="950">
        <v>72.599999999999994</v>
      </c>
      <c r="E160" s="952">
        <f t="shared" si="5"/>
        <v>781.45913999999993</v>
      </c>
      <c r="F160" s="944" t="s">
        <v>8</v>
      </c>
      <c r="G160" s="942"/>
      <c r="H160" s="942"/>
      <c r="I160" s="942"/>
      <c r="J160" s="964"/>
      <c r="K160" s="278" t="s">
        <v>66</v>
      </c>
      <c r="L160" s="966"/>
      <c r="M160" s="944" t="s">
        <v>8</v>
      </c>
      <c r="N160" s="944"/>
      <c r="O160" s="944"/>
      <c r="P160" s="954"/>
      <c r="Q160" s="956" t="s">
        <v>8</v>
      </c>
      <c r="R160" s="958" t="s">
        <v>171</v>
      </c>
    </row>
    <row r="161" spans="1:19" x14ac:dyDescent="0.35">
      <c r="A161" s="1072"/>
      <c r="B161" s="1016"/>
      <c r="C161" s="949"/>
      <c r="D161" s="951"/>
      <c r="E161" s="953"/>
      <c r="F161" s="945"/>
      <c r="G161" s="943"/>
      <c r="H161" s="943"/>
      <c r="I161" s="943"/>
      <c r="J161" s="965"/>
      <c r="K161" s="278" t="s">
        <v>219</v>
      </c>
      <c r="L161" s="967"/>
      <c r="M161" s="945"/>
      <c r="N161" s="945"/>
      <c r="O161" s="945"/>
      <c r="P161" s="955"/>
      <c r="Q161" s="960"/>
      <c r="R161" s="959"/>
    </row>
    <row r="162" spans="1:19" x14ac:dyDescent="0.35">
      <c r="A162" s="1072"/>
      <c r="B162" s="1016"/>
      <c r="C162" s="442">
        <v>133</v>
      </c>
      <c r="D162" s="25">
        <v>90</v>
      </c>
      <c r="E162" s="26">
        <f t="shared" si="5"/>
        <v>968.75099999999998</v>
      </c>
      <c r="F162" s="276" t="s">
        <v>8</v>
      </c>
      <c r="G162" s="276"/>
      <c r="H162" s="276"/>
      <c r="I162" s="276"/>
      <c r="J162" s="277"/>
      <c r="K162" s="278" t="s">
        <v>219</v>
      </c>
      <c r="L162" s="279"/>
      <c r="M162" s="276"/>
      <c r="N162" s="276" t="s">
        <v>8</v>
      </c>
      <c r="O162" s="276"/>
      <c r="P162" s="280"/>
      <c r="Q162" s="359"/>
      <c r="R162" s="372" t="s">
        <v>171</v>
      </c>
    </row>
    <row r="163" spans="1:19" x14ac:dyDescent="0.35">
      <c r="A163" s="1072"/>
      <c r="B163" s="1016"/>
      <c r="C163" s="442">
        <v>134</v>
      </c>
      <c r="D163" s="25">
        <v>97.1</v>
      </c>
      <c r="E163" s="26">
        <f t="shared" si="5"/>
        <v>1045.1746899999998</v>
      </c>
      <c r="F163" s="276" t="s">
        <v>8</v>
      </c>
      <c r="G163" s="276"/>
      <c r="H163" s="276"/>
      <c r="I163" s="276"/>
      <c r="J163" s="277"/>
      <c r="K163" s="278" t="s">
        <v>219</v>
      </c>
      <c r="L163" s="279"/>
      <c r="M163" s="276"/>
      <c r="N163" s="276" t="s">
        <v>8</v>
      </c>
      <c r="O163" s="276"/>
      <c r="P163" s="280"/>
      <c r="Q163" s="359"/>
      <c r="R163" s="372" t="s">
        <v>171</v>
      </c>
    </row>
    <row r="164" spans="1:19" x14ac:dyDescent="0.35">
      <c r="A164" s="1072"/>
      <c r="B164" s="1016"/>
      <c r="C164" s="948">
        <v>135</v>
      </c>
      <c r="D164" s="950">
        <v>91.3</v>
      </c>
      <c r="E164" s="952">
        <f t="shared" si="5"/>
        <v>982.74406999999997</v>
      </c>
      <c r="F164" s="944" t="s">
        <v>8</v>
      </c>
      <c r="G164" s="942"/>
      <c r="H164" s="942"/>
      <c r="I164" s="942"/>
      <c r="J164" s="964"/>
      <c r="K164" s="469" t="s">
        <v>66</v>
      </c>
      <c r="L164" s="966"/>
      <c r="M164" s="942"/>
      <c r="N164" s="944" t="s">
        <v>8</v>
      </c>
      <c r="O164" s="944"/>
      <c r="P164" s="954"/>
      <c r="Q164" s="956"/>
      <c r="R164" s="958" t="s">
        <v>171</v>
      </c>
    </row>
    <row r="165" spans="1:19" x14ac:dyDescent="0.35">
      <c r="A165" s="1072"/>
      <c r="B165" s="1016"/>
      <c r="C165" s="949"/>
      <c r="D165" s="951"/>
      <c r="E165" s="953"/>
      <c r="F165" s="945"/>
      <c r="G165" s="943"/>
      <c r="H165" s="943"/>
      <c r="I165" s="943"/>
      <c r="J165" s="965"/>
      <c r="K165" s="278" t="s">
        <v>65</v>
      </c>
      <c r="L165" s="967"/>
      <c r="M165" s="943"/>
      <c r="N165" s="945"/>
      <c r="O165" s="945"/>
      <c r="P165" s="955"/>
      <c r="Q165" s="960"/>
      <c r="R165" s="961"/>
    </row>
    <row r="166" spans="1:19" x14ac:dyDescent="0.35">
      <c r="A166" s="1072"/>
      <c r="B166" s="1016"/>
      <c r="C166" s="442">
        <v>136</v>
      </c>
      <c r="D166" s="25">
        <v>88.5</v>
      </c>
      <c r="E166" s="26">
        <f t="shared" si="5"/>
        <v>952.60514999999998</v>
      </c>
      <c r="F166" s="276"/>
      <c r="G166" s="276"/>
      <c r="H166" s="276" t="s">
        <v>8</v>
      </c>
      <c r="I166" s="276"/>
      <c r="J166" s="277"/>
      <c r="K166" s="278" t="s">
        <v>65</v>
      </c>
      <c r="L166" s="279"/>
      <c r="M166" s="276"/>
      <c r="N166" s="276" t="s">
        <v>8</v>
      </c>
      <c r="O166" s="276"/>
      <c r="P166" s="280"/>
      <c r="Q166" s="359"/>
      <c r="R166" s="371" t="s">
        <v>170</v>
      </c>
    </row>
    <row r="167" spans="1:19" x14ac:dyDescent="0.35">
      <c r="A167" s="1072"/>
      <c r="B167" s="1016"/>
      <c r="C167" s="442">
        <v>137</v>
      </c>
      <c r="D167" s="25">
        <v>89.9</v>
      </c>
      <c r="E167" s="26">
        <f t="shared" si="5"/>
        <v>967.67461000000003</v>
      </c>
      <c r="F167" s="276" t="s">
        <v>8</v>
      </c>
      <c r="G167" s="276"/>
      <c r="H167" s="276"/>
      <c r="I167" s="276"/>
      <c r="J167" s="277"/>
      <c r="K167" s="278" t="s">
        <v>65</v>
      </c>
      <c r="L167" s="279"/>
      <c r="M167" s="276"/>
      <c r="N167" s="276" t="s">
        <v>8</v>
      </c>
      <c r="O167" s="276"/>
      <c r="P167" s="280"/>
      <c r="Q167" s="359"/>
      <c r="R167" s="372" t="s">
        <v>171</v>
      </c>
    </row>
    <row r="168" spans="1:19" x14ac:dyDescent="0.35">
      <c r="A168" s="1072"/>
      <c r="B168" s="1016"/>
      <c r="C168" s="442">
        <v>138</v>
      </c>
      <c r="D168" s="25">
        <v>90.7</v>
      </c>
      <c r="E168" s="26">
        <f t="shared" si="5"/>
        <v>976.28572999999994</v>
      </c>
      <c r="F168" s="276" t="s">
        <v>8</v>
      </c>
      <c r="G168" s="276"/>
      <c r="H168" s="276"/>
      <c r="I168" s="276"/>
      <c r="J168" s="277"/>
      <c r="K168" s="278" t="s">
        <v>63</v>
      </c>
      <c r="L168" s="279"/>
      <c r="M168" s="276" t="s">
        <v>8</v>
      </c>
      <c r="N168" s="276"/>
      <c r="O168" s="276"/>
      <c r="P168" s="280"/>
      <c r="Q168" s="359"/>
      <c r="R168" s="372" t="s">
        <v>172</v>
      </c>
    </row>
    <row r="169" spans="1:19" x14ac:dyDescent="0.35">
      <c r="A169" s="1072"/>
      <c r="B169" s="1016"/>
      <c r="C169" s="442">
        <v>139</v>
      </c>
      <c r="D169" s="25">
        <v>90.7</v>
      </c>
      <c r="E169" s="26">
        <f t="shared" si="5"/>
        <v>976.28572999999994</v>
      </c>
      <c r="F169" s="276" t="s">
        <v>8</v>
      </c>
      <c r="G169" s="276"/>
      <c r="H169" s="276"/>
      <c r="I169" s="276"/>
      <c r="J169" s="277"/>
      <c r="K169" s="278" t="s">
        <v>164</v>
      </c>
      <c r="L169" s="279"/>
      <c r="M169" s="276" t="s">
        <v>8</v>
      </c>
      <c r="N169" s="276"/>
      <c r="O169" s="276"/>
      <c r="P169" s="280"/>
      <c r="Q169" s="359"/>
      <c r="R169" s="372" t="s">
        <v>172</v>
      </c>
    </row>
    <row r="170" spans="1:19" x14ac:dyDescent="0.35">
      <c r="A170" s="1072"/>
      <c r="B170" s="1016"/>
      <c r="C170" s="442">
        <v>140</v>
      </c>
      <c r="D170" s="25">
        <v>87.6</v>
      </c>
      <c r="E170" s="26">
        <f t="shared" si="5"/>
        <v>942.91763999999989</v>
      </c>
      <c r="F170" s="276" t="s">
        <v>8</v>
      </c>
      <c r="G170" s="276"/>
      <c r="H170" s="276"/>
      <c r="I170" s="276"/>
      <c r="J170" s="277"/>
      <c r="K170" s="278" t="s">
        <v>164</v>
      </c>
      <c r="L170" s="279"/>
      <c r="M170" s="276" t="s">
        <v>8</v>
      </c>
      <c r="N170" s="276"/>
      <c r="O170" s="276"/>
      <c r="P170" s="280"/>
      <c r="Q170" s="360"/>
      <c r="R170" s="372" t="s">
        <v>171</v>
      </c>
    </row>
    <row r="171" spans="1:19" x14ac:dyDescent="0.35">
      <c r="A171" s="1072"/>
      <c r="B171" s="1016"/>
      <c r="C171" s="301">
        <v>141</v>
      </c>
      <c r="D171" s="25">
        <v>97.3</v>
      </c>
      <c r="E171" s="26">
        <f t="shared" si="5"/>
        <v>1047.3274699999999</v>
      </c>
      <c r="F171" s="276" t="s">
        <v>8</v>
      </c>
      <c r="G171" s="276"/>
      <c r="H171" s="276"/>
      <c r="I171" s="276"/>
      <c r="J171" s="277"/>
      <c r="K171" s="278" t="s">
        <v>219</v>
      </c>
      <c r="L171" s="279"/>
      <c r="M171" s="276"/>
      <c r="N171" s="276" t="s">
        <v>8</v>
      </c>
      <c r="O171" s="276"/>
      <c r="P171" s="280"/>
      <c r="Q171" s="360"/>
      <c r="R171" s="372" t="s">
        <v>171</v>
      </c>
    </row>
    <row r="172" spans="1:19" x14ac:dyDescent="0.35">
      <c r="A172" s="1075"/>
      <c r="B172" s="1017"/>
      <c r="C172" s="444">
        <v>142</v>
      </c>
      <c r="D172" s="445">
        <v>89</v>
      </c>
      <c r="E172" s="446">
        <f t="shared" si="5"/>
        <v>957.98709999999994</v>
      </c>
      <c r="F172" s="447" t="s">
        <v>8</v>
      </c>
      <c r="G172" s="447"/>
      <c r="H172" s="447"/>
      <c r="I172" s="447"/>
      <c r="J172" s="447"/>
      <c r="K172" s="278" t="s">
        <v>65</v>
      </c>
      <c r="L172" s="448"/>
      <c r="M172" s="447" t="s">
        <v>8</v>
      </c>
      <c r="N172" s="447"/>
      <c r="O172" s="447"/>
      <c r="P172" s="281"/>
      <c r="Q172" s="361"/>
      <c r="R172" s="372" t="s">
        <v>171</v>
      </c>
    </row>
    <row r="173" spans="1:19" x14ac:dyDescent="0.35">
      <c r="A173" s="1072" t="s">
        <v>71</v>
      </c>
      <c r="B173" s="1015" t="s">
        <v>124</v>
      </c>
      <c r="C173" s="518">
        <v>143</v>
      </c>
      <c r="D173" s="30">
        <v>38.200000000000003</v>
      </c>
      <c r="E173" s="31">
        <f t="shared" si="5"/>
        <v>411.18098000000003</v>
      </c>
      <c r="F173" s="282"/>
      <c r="G173" s="282"/>
      <c r="H173" s="522" t="s">
        <v>8</v>
      </c>
      <c r="I173" s="282"/>
      <c r="J173" s="283"/>
      <c r="K173" s="284" t="s">
        <v>67</v>
      </c>
      <c r="L173" s="285" t="s">
        <v>8</v>
      </c>
      <c r="M173" s="282"/>
      <c r="N173" s="282"/>
      <c r="O173" s="282"/>
      <c r="P173" s="286"/>
      <c r="Q173" s="366"/>
      <c r="R173" s="372" t="s">
        <v>168</v>
      </c>
      <c r="S173" s="2" t="s">
        <v>8</v>
      </c>
    </row>
    <row r="174" spans="1:19" x14ac:dyDescent="0.35">
      <c r="A174" s="1072"/>
      <c r="B174" s="1016"/>
      <c r="C174" s="442">
        <v>144</v>
      </c>
      <c r="D174" s="25">
        <v>52.1</v>
      </c>
      <c r="E174" s="26">
        <f t="shared" si="5"/>
        <v>560.79918999999995</v>
      </c>
      <c r="F174" s="276"/>
      <c r="G174" s="276"/>
      <c r="H174" s="276" t="s">
        <v>8</v>
      </c>
      <c r="I174" s="276"/>
      <c r="J174" s="277"/>
      <c r="K174" s="278" t="s">
        <v>67</v>
      </c>
      <c r="L174" s="279" t="s">
        <v>8</v>
      </c>
      <c r="M174" s="276"/>
      <c r="N174" s="276"/>
      <c r="O174" s="276"/>
      <c r="P174" s="280"/>
      <c r="Q174" s="360"/>
      <c r="R174" s="372" t="s">
        <v>168</v>
      </c>
    </row>
    <row r="175" spans="1:19" x14ac:dyDescent="0.35">
      <c r="A175" s="1072"/>
      <c r="B175" s="1016"/>
      <c r="C175" s="519">
        <v>145</v>
      </c>
      <c r="D175" s="25">
        <v>38.200000000000003</v>
      </c>
      <c r="E175" s="26">
        <f t="shared" ref="E175:E183" si="6">SUM(D175*10.7639)</f>
        <v>411.18098000000003</v>
      </c>
      <c r="F175" s="276"/>
      <c r="G175" s="276"/>
      <c r="H175" s="276"/>
      <c r="I175" s="276"/>
      <c r="J175" s="277" t="s">
        <v>8</v>
      </c>
      <c r="K175" s="278" t="s">
        <v>66</v>
      </c>
      <c r="L175" s="279" t="s">
        <v>8</v>
      </c>
      <c r="M175" s="276"/>
      <c r="N175" s="276"/>
      <c r="O175" s="276"/>
      <c r="P175" s="280"/>
      <c r="Q175" s="361"/>
      <c r="R175" s="372" t="s">
        <v>168</v>
      </c>
      <c r="S175" s="2" t="s">
        <v>8</v>
      </c>
    </row>
    <row r="176" spans="1:19" x14ac:dyDescent="0.35">
      <c r="A176" s="1072"/>
      <c r="B176" s="1016"/>
      <c r="C176" s="442">
        <v>146</v>
      </c>
      <c r="D176" s="25">
        <v>52.1</v>
      </c>
      <c r="E176" s="26">
        <f t="shared" si="6"/>
        <v>560.79918999999995</v>
      </c>
      <c r="F176" s="276"/>
      <c r="G176" s="276"/>
      <c r="H176" s="276"/>
      <c r="I176" s="276"/>
      <c r="J176" s="277" t="s">
        <v>8</v>
      </c>
      <c r="K176" s="278" t="s">
        <v>67</v>
      </c>
      <c r="L176" s="279" t="s">
        <v>8</v>
      </c>
      <c r="M176" s="276"/>
      <c r="N176" s="276"/>
      <c r="O176" s="276"/>
      <c r="P176" s="280"/>
      <c r="Q176" s="359"/>
      <c r="R176" s="372" t="s">
        <v>168</v>
      </c>
    </row>
    <row r="177" spans="1:19" x14ac:dyDescent="0.35">
      <c r="A177" s="1072"/>
      <c r="B177" s="1016"/>
      <c r="C177" s="519">
        <v>147</v>
      </c>
      <c r="D177" s="25">
        <v>38.200000000000003</v>
      </c>
      <c r="E177" s="26">
        <f t="shared" si="6"/>
        <v>411.18098000000003</v>
      </c>
      <c r="F177" s="276"/>
      <c r="G177" s="276"/>
      <c r="H177" s="276"/>
      <c r="I177" s="276"/>
      <c r="J177" s="277" t="s">
        <v>8</v>
      </c>
      <c r="K177" s="278" t="s">
        <v>66</v>
      </c>
      <c r="L177" s="279" t="s">
        <v>8</v>
      </c>
      <c r="M177" s="276"/>
      <c r="N177" s="276"/>
      <c r="O177" s="276"/>
      <c r="P177" s="280"/>
      <c r="Q177" s="359"/>
      <c r="R177" s="372" t="s">
        <v>168</v>
      </c>
      <c r="S177" s="2" t="s">
        <v>8</v>
      </c>
    </row>
    <row r="178" spans="1:19" x14ac:dyDescent="0.35">
      <c r="A178" s="1072"/>
      <c r="B178" s="1016"/>
      <c r="C178" s="442">
        <v>148</v>
      </c>
      <c r="D178" s="25">
        <v>52.1</v>
      </c>
      <c r="E178" s="26">
        <f t="shared" si="6"/>
        <v>560.79918999999995</v>
      </c>
      <c r="F178" s="276"/>
      <c r="G178" s="276"/>
      <c r="H178" s="276"/>
      <c r="I178" s="276"/>
      <c r="J178" s="277" t="s">
        <v>8</v>
      </c>
      <c r="K178" s="278" t="s">
        <v>67</v>
      </c>
      <c r="L178" s="279" t="s">
        <v>8</v>
      </c>
      <c r="M178" s="276"/>
      <c r="N178" s="276"/>
      <c r="O178" s="276"/>
      <c r="P178" s="280"/>
      <c r="Q178" s="359"/>
      <c r="R178" s="372" t="s">
        <v>168</v>
      </c>
    </row>
    <row r="179" spans="1:19" x14ac:dyDescent="0.35">
      <c r="A179" s="1072"/>
      <c r="B179" s="1016"/>
      <c r="C179" s="442">
        <v>149</v>
      </c>
      <c r="D179" s="25">
        <v>70</v>
      </c>
      <c r="E179" s="26">
        <f t="shared" si="6"/>
        <v>753.47299999999996</v>
      </c>
      <c r="F179" s="276"/>
      <c r="G179" s="276"/>
      <c r="H179" s="276"/>
      <c r="I179" s="276" t="s">
        <v>8</v>
      </c>
      <c r="J179" s="277"/>
      <c r="K179" s="278" t="s">
        <v>67</v>
      </c>
      <c r="L179" s="279"/>
      <c r="M179" s="276" t="s">
        <v>8</v>
      </c>
      <c r="N179" s="276"/>
      <c r="O179" s="276"/>
      <c r="P179" s="280"/>
      <c r="Q179" s="361"/>
      <c r="R179" s="371" t="s">
        <v>170</v>
      </c>
    </row>
    <row r="180" spans="1:19" x14ac:dyDescent="0.35">
      <c r="A180" s="1072"/>
      <c r="B180" s="1016"/>
      <c r="C180" s="519">
        <v>150</v>
      </c>
      <c r="D180" s="25">
        <v>38.200000000000003</v>
      </c>
      <c r="E180" s="26">
        <f t="shared" si="6"/>
        <v>411.18098000000003</v>
      </c>
      <c r="F180" s="276"/>
      <c r="G180" s="276"/>
      <c r="H180" s="276"/>
      <c r="I180" s="276"/>
      <c r="J180" s="277" t="s">
        <v>8</v>
      </c>
      <c r="K180" s="278" t="s">
        <v>66</v>
      </c>
      <c r="L180" s="279" t="s">
        <v>8</v>
      </c>
      <c r="M180" s="276"/>
      <c r="N180" s="276"/>
      <c r="O180" s="276"/>
      <c r="P180" s="280"/>
      <c r="Q180" s="359"/>
      <c r="R180" s="372" t="s">
        <v>168</v>
      </c>
      <c r="S180" s="2" t="s">
        <v>8</v>
      </c>
    </row>
    <row r="181" spans="1:19" x14ac:dyDescent="0.35">
      <c r="A181" s="1072"/>
      <c r="B181" s="1016"/>
      <c r="C181" s="442">
        <v>151</v>
      </c>
      <c r="D181" s="25">
        <v>52.1</v>
      </c>
      <c r="E181" s="26">
        <f t="shared" si="6"/>
        <v>560.79918999999995</v>
      </c>
      <c r="F181" s="276"/>
      <c r="G181" s="276"/>
      <c r="H181" s="276"/>
      <c r="I181" s="276"/>
      <c r="J181" s="277" t="s">
        <v>8</v>
      </c>
      <c r="K181" s="278" t="s">
        <v>67</v>
      </c>
      <c r="L181" s="279" t="s">
        <v>8</v>
      </c>
      <c r="M181" s="276"/>
      <c r="N181" s="276"/>
      <c r="O181" s="276"/>
      <c r="P181" s="280"/>
      <c r="Q181" s="359"/>
      <c r="R181" s="372" t="s">
        <v>168</v>
      </c>
    </row>
    <row r="182" spans="1:19" x14ac:dyDescent="0.35">
      <c r="A182" s="1072"/>
      <c r="B182" s="1016"/>
      <c r="C182" s="519">
        <v>152</v>
      </c>
      <c r="D182" s="25">
        <v>38.200000000000003</v>
      </c>
      <c r="E182" s="26">
        <f t="shared" si="6"/>
        <v>411.18098000000003</v>
      </c>
      <c r="F182" s="276"/>
      <c r="G182" s="276"/>
      <c r="H182" s="276"/>
      <c r="I182" s="276"/>
      <c r="J182" s="277" t="s">
        <v>8</v>
      </c>
      <c r="K182" s="278" t="s">
        <v>66</v>
      </c>
      <c r="L182" s="279" t="s">
        <v>8</v>
      </c>
      <c r="M182" s="276"/>
      <c r="N182" s="276"/>
      <c r="O182" s="276"/>
      <c r="P182" s="280"/>
      <c r="Q182" s="359"/>
      <c r="R182" s="372" t="s">
        <v>168</v>
      </c>
      <c r="S182" s="2" t="s">
        <v>8</v>
      </c>
    </row>
    <row r="183" spans="1:19" x14ac:dyDescent="0.35">
      <c r="A183" s="1072"/>
      <c r="B183" s="1016"/>
      <c r="C183" s="442">
        <v>153</v>
      </c>
      <c r="D183" s="25">
        <v>49.8</v>
      </c>
      <c r="E183" s="26">
        <f t="shared" si="6"/>
        <v>536.04221999999993</v>
      </c>
      <c r="F183" s="276"/>
      <c r="G183" s="276"/>
      <c r="H183" s="276"/>
      <c r="I183" s="276"/>
      <c r="J183" s="277" t="s">
        <v>8</v>
      </c>
      <c r="K183" s="278" t="s">
        <v>67</v>
      </c>
      <c r="L183" s="279" t="s">
        <v>8</v>
      </c>
      <c r="M183" s="276"/>
      <c r="N183" s="276"/>
      <c r="O183" s="276"/>
      <c r="P183" s="280"/>
      <c r="Q183" s="359"/>
      <c r="R183" s="372" t="s">
        <v>168</v>
      </c>
    </row>
    <row r="184" spans="1:19" x14ac:dyDescent="0.35">
      <c r="A184" s="1072"/>
      <c r="B184" s="1016"/>
      <c r="C184" s="519">
        <v>154</v>
      </c>
      <c r="D184" s="25">
        <v>37.200000000000003</v>
      </c>
      <c r="E184" s="26">
        <f t="shared" ref="E184:E196" si="7">SUM(D184*10.7639)</f>
        <v>400.41708</v>
      </c>
      <c r="F184" s="276"/>
      <c r="G184" s="276"/>
      <c r="H184" s="276"/>
      <c r="I184" s="276"/>
      <c r="J184" s="277" t="s">
        <v>8</v>
      </c>
      <c r="K184" s="278" t="s">
        <v>66</v>
      </c>
      <c r="L184" s="279" t="s">
        <v>8</v>
      </c>
      <c r="M184" s="276"/>
      <c r="N184" s="276"/>
      <c r="O184" s="276"/>
      <c r="P184" s="280"/>
      <c r="Q184" s="361"/>
      <c r="R184" s="372" t="s">
        <v>168</v>
      </c>
      <c r="S184" s="2" t="s">
        <v>8</v>
      </c>
    </row>
    <row r="185" spans="1:19" x14ac:dyDescent="0.35">
      <c r="A185" s="1072"/>
      <c r="B185" s="1016"/>
      <c r="C185" s="442">
        <v>155</v>
      </c>
      <c r="D185" s="25">
        <v>49.8</v>
      </c>
      <c r="E185" s="26">
        <f t="shared" si="7"/>
        <v>536.04221999999993</v>
      </c>
      <c r="F185" s="276"/>
      <c r="G185" s="276"/>
      <c r="H185" s="276"/>
      <c r="I185" s="276"/>
      <c r="J185" s="277" t="s">
        <v>8</v>
      </c>
      <c r="K185" s="278" t="s">
        <v>67</v>
      </c>
      <c r="L185" s="279" t="s">
        <v>8</v>
      </c>
      <c r="M185" s="276"/>
      <c r="N185" s="276"/>
      <c r="O185" s="276"/>
      <c r="P185" s="280"/>
      <c r="Q185" s="359"/>
      <c r="R185" s="372" t="s">
        <v>168</v>
      </c>
    </row>
    <row r="186" spans="1:19" x14ac:dyDescent="0.35">
      <c r="A186" s="1072"/>
      <c r="B186" s="1016"/>
      <c r="C186" s="442">
        <v>156</v>
      </c>
      <c r="D186" s="25">
        <v>70.099999999999994</v>
      </c>
      <c r="E186" s="26">
        <f t="shared" si="7"/>
        <v>754.5493899999999</v>
      </c>
      <c r="F186" s="276"/>
      <c r="G186" s="276"/>
      <c r="H186" s="276" t="s">
        <v>8</v>
      </c>
      <c r="I186" s="276"/>
      <c r="J186" s="277"/>
      <c r="K186" s="278" t="s">
        <v>67</v>
      </c>
      <c r="L186" s="279"/>
      <c r="M186" s="276" t="s">
        <v>8</v>
      </c>
      <c r="N186" s="276"/>
      <c r="O186" s="276"/>
      <c r="P186" s="280"/>
      <c r="Q186" s="359"/>
      <c r="R186" s="371" t="s">
        <v>170</v>
      </c>
    </row>
    <row r="187" spans="1:19" x14ac:dyDescent="0.35">
      <c r="A187" s="1072"/>
      <c r="B187" s="1016"/>
      <c r="C187" s="442">
        <v>157</v>
      </c>
      <c r="D187" s="25">
        <v>49</v>
      </c>
      <c r="E187" s="26">
        <f t="shared" si="7"/>
        <v>527.43110000000001</v>
      </c>
      <c r="F187" s="276"/>
      <c r="G187" s="276"/>
      <c r="H187" s="276" t="s">
        <v>8</v>
      </c>
      <c r="I187" s="276"/>
      <c r="J187" s="277"/>
      <c r="K187" s="278" t="s">
        <v>65</v>
      </c>
      <c r="L187" s="279" t="s">
        <v>8</v>
      </c>
      <c r="M187" s="276"/>
      <c r="N187" s="276"/>
      <c r="O187" s="276"/>
      <c r="P187" s="280"/>
      <c r="Q187" s="359"/>
      <c r="R187" s="371" t="s">
        <v>170</v>
      </c>
    </row>
    <row r="188" spans="1:19" x14ac:dyDescent="0.35">
      <c r="A188" s="1072"/>
      <c r="B188" s="1016"/>
      <c r="C188" s="442">
        <v>158</v>
      </c>
      <c r="D188" s="25">
        <v>49</v>
      </c>
      <c r="E188" s="26">
        <f t="shared" si="7"/>
        <v>527.43110000000001</v>
      </c>
      <c r="F188" s="276"/>
      <c r="G188" s="276"/>
      <c r="H188" s="276"/>
      <c r="I188" s="276" t="s">
        <v>8</v>
      </c>
      <c r="J188" s="277"/>
      <c r="K188" s="278" t="s">
        <v>63</v>
      </c>
      <c r="L188" s="279" t="s">
        <v>8</v>
      </c>
      <c r="M188" s="276"/>
      <c r="N188" s="276"/>
      <c r="O188" s="276"/>
      <c r="P188" s="280"/>
      <c r="Q188" s="359"/>
      <c r="R188" s="371" t="s">
        <v>170</v>
      </c>
    </row>
    <row r="189" spans="1:19" x14ac:dyDescent="0.35">
      <c r="A189" s="1072"/>
      <c r="B189" s="1016"/>
      <c r="C189" s="442">
        <v>159</v>
      </c>
      <c r="D189" s="25">
        <v>85.2</v>
      </c>
      <c r="E189" s="26">
        <f t="shared" si="7"/>
        <v>917.08428000000004</v>
      </c>
      <c r="F189" s="276"/>
      <c r="G189" s="276"/>
      <c r="H189" s="276"/>
      <c r="I189" s="276" t="s">
        <v>8</v>
      </c>
      <c r="J189" s="277"/>
      <c r="K189" s="278" t="s">
        <v>63</v>
      </c>
      <c r="L189" s="279"/>
      <c r="M189" s="276" t="s">
        <v>8</v>
      </c>
      <c r="N189" s="276"/>
      <c r="O189" s="276"/>
      <c r="P189" s="280"/>
      <c r="Q189" s="359"/>
      <c r="R189" s="371" t="s">
        <v>170</v>
      </c>
    </row>
    <row r="190" spans="1:19" x14ac:dyDescent="0.35">
      <c r="A190" s="1072"/>
      <c r="B190" s="1016"/>
      <c r="C190" s="442">
        <v>160</v>
      </c>
      <c r="D190" s="25">
        <v>83.8</v>
      </c>
      <c r="E190" s="26">
        <f t="shared" si="7"/>
        <v>902.01481999999999</v>
      </c>
      <c r="F190" s="276"/>
      <c r="G190" s="276"/>
      <c r="H190" s="276" t="s">
        <v>8</v>
      </c>
      <c r="I190" s="276"/>
      <c r="J190" s="277"/>
      <c r="K190" s="278" t="s">
        <v>65</v>
      </c>
      <c r="L190" s="279"/>
      <c r="M190" s="276" t="s">
        <v>8</v>
      </c>
      <c r="N190" s="276"/>
      <c r="O190" s="276"/>
      <c r="P190" s="280"/>
      <c r="Q190" s="359"/>
      <c r="R190" s="371" t="s">
        <v>170</v>
      </c>
    </row>
    <row r="191" spans="1:19" x14ac:dyDescent="0.35">
      <c r="A191" s="1072"/>
      <c r="B191" s="1016"/>
      <c r="C191" s="442">
        <v>161</v>
      </c>
      <c r="D191" s="25">
        <v>79.599999999999994</v>
      </c>
      <c r="E191" s="26">
        <f t="shared" si="7"/>
        <v>856.80643999999995</v>
      </c>
      <c r="F191" s="276"/>
      <c r="G191" s="276"/>
      <c r="H191" s="276" t="s">
        <v>8</v>
      </c>
      <c r="I191" s="276"/>
      <c r="J191" s="277"/>
      <c r="K191" s="278" t="s">
        <v>163</v>
      </c>
      <c r="L191" s="279"/>
      <c r="M191" s="276" t="s">
        <v>8</v>
      </c>
      <c r="N191" s="276"/>
      <c r="O191" s="276"/>
      <c r="P191" s="280"/>
      <c r="Q191" s="359"/>
      <c r="R191" s="371" t="s">
        <v>170</v>
      </c>
    </row>
    <row r="192" spans="1:19" x14ac:dyDescent="0.35">
      <c r="A192" s="1072"/>
      <c r="B192" s="1016"/>
      <c r="C192" s="442">
        <v>162</v>
      </c>
      <c r="D192" s="25">
        <v>79.599999999999994</v>
      </c>
      <c r="E192" s="26">
        <f t="shared" si="7"/>
        <v>856.80643999999995</v>
      </c>
      <c r="F192" s="276"/>
      <c r="G192" s="276"/>
      <c r="H192" s="276"/>
      <c r="I192" s="276" t="s">
        <v>8</v>
      </c>
      <c r="J192" s="277"/>
      <c r="K192" s="278" t="s">
        <v>63</v>
      </c>
      <c r="L192" s="279"/>
      <c r="M192" s="276" t="s">
        <v>8</v>
      </c>
      <c r="N192" s="276"/>
      <c r="O192" s="276"/>
      <c r="P192" s="280"/>
      <c r="Q192" s="359"/>
      <c r="R192" s="371" t="s">
        <v>170</v>
      </c>
    </row>
    <row r="193" spans="1:19" x14ac:dyDescent="0.35">
      <c r="A193" s="1072"/>
      <c r="B193" s="1017"/>
      <c r="C193" s="442">
        <v>163</v>
      </c>
      <c r="D193" s="25">
        <v>80</v>
      </c>
      <c r="E193" s="26">
        <f t="shared" si="7"/>
        <v>861.11199999999997</v>
      </c>
      <c r="F193" s="276"/>
      <c r="G193" s="276"/>
      <c r="H193" s="276"/>
      <c r="I193" s="276" t="s">
        <v>8</v>
      </c>
      <c r="J193" s="277"/>
      <c r="K193" s="278" t="s">
        <v>63</v>
      </c>
      <c r="L193" s="279"/>
      <c r="M193" s="276" t="s">
        <v>8</v>
      </c>
      <c r="N193" s="276"/>
      <c r="O193" s="276"/>
      <c r="P193" s="280"/>
      <c r="Q193" s="359" t="s">
        <v>8</v>
      </c>
      <c r="R193" s="371" t="s">
        <v>170</v>
      </c>
    </row>
    <row r="194" spans="1:19" x14ac:dyDescent="0.35">
      <c r="A194" s="1072"/>
      <c r="B194" s="1016" t="s">
        <v>26</v>
      </c>
      <c r="C194" s="442">
        <v>164</v>
      </c>
      <c r="D194" s="25">
        <v>80</v>
      </c>
      <c r="E194" s="26">
        <f t="shared" si="7"/>
        <v>861.11199999999997</v>
      </c>
      <c r="F194" s="276"/>
      <c r="G194" s="276"/>
      <c r="H194" s="276" t="s">
        <v>8</v>
      </c>
      <c r="I194" s="276"/>
      <c r="J194" s="277"/>
      <c r="K194" s="278" t="s">
        <v>65</v>
      </c>
      <c r="L194" s="279"/>
      <c r="M194" s="276" t="s">
        <v>8</v>
      </c>
      <c r="N194" s="276"/>
      <c r="O194" s="276"/>
      <c r="P194" s="280"/>
      <c r="Q194" s="359"/>
      <c r="R194" s="371" t="s">
        <v>170</v>
      </c>
    </row>
    <row r="195" spans="1:19" x14ac:dyDescent="0.35">
      <c r="A195" s="1072"/>
      <c r="B195" s="1016"/>
      <c r="C195" s="519">
        <v>165</v>
      </c>
      <c r="D195" s="25">
        <v>43.2</v>
      </c>
      <c r="E195" s="26">
        <f t="shared" si="7"/>
        <v>465.00048000000004</v>
      </c>
      <c r="F195" s="276"/>
      <c r="G195" s="276"/>
      <c r="H195" s="521" t="s">
        <v>8</v>
      </c>
      <c r="I195" s="276"/>
      <c r="J195" s="277"/>
      <c r="K195" s="278" t="s">
        <v>65</v>
      </c>
      <c r="L195" s="279" t="s">
        <v>8</v>
      </c>
      <c r="M195" s="276"/>
      <c r="N195" s="276"/>
      <c r="O195" s="276"/>
      <c r="P195" s="280"/>
      <c r="Q195" s="359"/>
      <c r="R195" s="372" t="s">
        <v>168</v>
      </c>
      <c r="S195" s="2" t="s">
        <v>8</v>
      </c>
    </row>
    <row r="196" spans="1:19" x14ac:dyDescent="0.35">
      <c r="A196" s="1072"/>
      <c r="B196" s="1016"/>
      <c r="C196" s="442">
        <v>166</v>
      </c>
      <c r="D196" s="25">
        <v>71.7</v>
      </c>
      <c r="E196" s="26">
        <f t="shared" si="7"/>
        <v>771.77162999999996</v>
      </c>
      <c r="F196" s="276"/>
      <c r="G196" s="276"/>
      <c r="H196" s="276"/>
      <c r="I196" s="276"/>
      <c r="J196" s="277" t="s">
        <v>8</v>
      </c>
      <c r="K196" s="278" t="s">
        <v>163</v>
      </c>
      <c r="L196" s="279"/>
      <c r="M196" s="276" t="s">
        <v>8</v>
      </c>
      <c r="N196" s="276"/>
      <c r="O196" s="276"/>
      <c r="P196" s="280"/>
      <c r="Q196" s="359"/>
      <c r="R196" s="372" t="s">
        <v>168</v>
      </c>
    </row>
    <row r="197" spans="1:19" x14ac:dyDescent="0.35">
      <c r="A197" s="1072"/>
      <c r="B197" s="1016"/>
      <c r="C197" s="442">
        <v>167</v>
      </c>
      <c r="D197" s="25">
        <v>52.3</v>
      </c>
      <c r="E197" s="26">
        <f t="shared" ref="E197:E211" si="8">SUM(D197*10.7639)</f>
        <v>562.95196999999996</v>
      </c>
      <c r="F197" s="276"/>
      <c r="G197" s="276"/>
      <c r="H197" s="276"/>
      <c r="I197" s="276"/>
      <c r="J197" s="277" t="s">
        <v>8</v>
      </c>
      <c r="K197" s="278" t="s">
        <v>65</v>
      </c>
      <c r="L197" s="279" t="s">
        <v>8</v>
      </c>
      <c r="M197" s="276"/>
      <c r="N197" s="276"/>
      <c r="O197" s="276"/>
      <c r="P197" s="280"/>
      <c r="Q197" s="361"/>
      <c r="R197" s="372" t="s">
        <v>168</v>
      </c>
    </row>
    <row r="198" spans="1:19" x14ac:dyDescent="0.35">
      <c r="A198" s="1072"/>
      <c r="B198" s="1016"/>
      <c r="C198" s="442">
        <v>168</v>
      </c>
      <c r="D198" s="25">
        <v>71.7</v>
      </c>
      <c r="E198" s="26">
        <f t="shared" si="8"/>
        <v>771.77162999999996</v>
      </c>
      <c r="F198" s="276"/>
      <c r="G198" s="276"/>
      <c r="H198" s="276"/>
      <c r="I198" s="276"/>
      <c r="J198" s="277" t="s">
        <v>8</v>
      </c>
      <c r="K198" s="278" t="s">
        <v>66</v>
      </c>
      <c r="L198" s="279"/>
      <c r="M198" s="276" t="s">
        <v>8</v>
      </c>
      <c r="N198" s="276"/>
      <c r="O198" s="276"/>
      <c r="P198" s="280"/>
      <c r="Q198" s="359"/>
      <c r="R198" s="372" t="s">
        <v>168</v>
      </c>
    </row>
    <row r="199" spans="1:19" x14ac:dyDescent="0.35">
      <c r="A199" s="1072"/>
      <c r="B199" s="1016"/>
      <c r="C199" s="442">
        <v>169</v>
      </c>
      <c r="D199" s="25">
        <v>52.3</v>
      </c>
      <c r="E199" s="26">
        <f t="shared" si="8"/>
        <v>562.95196999999996</v>
      </c>
      <c r="F199" s="276"/>
      <c r="G199" s="276"/>
      <c r="H199" s="276"/>
      <c r="I199" s="276"/>
      <c r="J199" s="277" t="s">
        <v>8</v>
      </c>
      <c r="K199" s="278" t="s">
        <v>65</v>
      </c>
      <c r="L199" s="279" t="s">
        <v>8</v>
      </c>
      <c r="M199" s="276"/>
      <c r="N199" s="276"/>
      <c r="O199" s="276"/>
      <c r="P199" s="280"/>
      <c r="Q199" s="359"/>
      <c r="R199" s="372" t="s">
        <v>168</v>
      </c>
    </row>
    <row r="200" spans="1:19" x14ac:dyDescent="0.35">
      <c r="A200" s="1072"/>
      <c r="B200" s="1016"/>
      <c r="C200" s="442">
        <v>170</v>
      </c>
      <c r="D200" s="25">
        <v>71.7</v>
      </c>
      <c r="E200" s="26">
        <f t="shared" si="8"/>
        <v>771.77162999999996</v>
      </c>
      <c r="F200" s="276"/>
      <c r="G200" s="276"/>
      <c r="H200" s="276"/>
      <c r="I200" s="276"/>
      <c r="J200" s="277" t="s">
        <v>8</v>
      </c>
      <c r="K200" s="278" t="s">
        <v>66</v>
      </c>
      <c r="L200" s="279"/>
      <c r="M200" s="276" t="s">
        <v>8</v>
      </c>
      <c r="N200" s="276"/>
      <c r="O200" s="276"/>
      <c r="P200" s="280"/>
      <c r="Q200" s="359"/>
      <c r="R200" s="372" t="s">
        <v>168</v>
      </c>
    </row>
    <row r="201" spans="1:19" x14ac:dyDescent="0.35">
      <c r="A201" s="1072"/>
      <c r="B201" s="1016"/>
      <c r="C201" s="442">
        <v>171</v>
      </c>
      <c r="D201" s="25">
        <v>52.3</v>
      </c>
      <c r="E201" s="26">
        <f t="shared" si="8"/>
        <v>562.95196999999996</v>
      </c>
      <c r="F201" s="276"/>
      <c r="G201" s="276"/>
      <c r="H201" s="276"/>
      <c r="I201" s="276"/>
      <c r="J201" s="277" t="s">
        <v>8</v>
      </c>
      <c r="K201" s="278" t="s">
        <v>65</v>
      </c>
      <c r="L201" s="279" t="s">
        <v>8</v>
      </c>
      <c r="M201" s="276"/>
      <c r="N201" s="276"/>
      <c r="O201" s="276"/>
      <c r="P201" s="280"/>
      <c r="Q201" s="359"/>
      <c r="R201" s="372" t="s">
        <v>168</v>
      </c>
    </row>
    <row r="202" spans="1:19" x14ac:dyDescent="0.35">
      <c r="A202" s="1072"/>
      <c r="B202" s="1016"/>
      <c r="C202" s="442">
        <v>172</v>
      </c>
      <c r="D202" s="25">
        <v>71.7</v>
      </c>
      <c r="E202" s="26">
        <f t="shared" si="8"/>
        <v>771.77162999999996</v>
      </c>
      <c r="F202" s="276"/>
      <c r="G202" s="276"/>
      <c r="H202" s="276"/>
      <c r="I202" s="276"/>
      <c r="J202" s="277" t="s">
        <v>8</v>
      </c>
      <c r="K202" s="278" t="s">
        <v>66</v>
      </c>
      <c r="L202" s="279"/>
      <c r="M202" s="276" t="s">
        <v>8</v>
      </c>
      <c r="N202" s="276"/>
      <c r="O202" s="276"/>
      <c r="P202" s="280"/>
      <c r="Q202" s="360"/>
      <c r="R202" s="372" t="s">
        <v>168</v>
      </c>
    </row>
    <row r="203" spans="1:19" x14ac:dyDescent="0.35">
      <c r="A203" s="1072"/>
      <c r="B203" s="1016"/>
      <c r="C203" s="442">
        <v>173</v>
      </c>
      <c r="D203" s="25">
        <v>71.7</v>
      </c>
      <c r="E203" s="26">
        <f t="shared" si="8"/>
        <v>771.77162999999996</v>
      </c>
      <c r="F203" s="276"/>
      <c r="G203" s="276"/>
      <c r="H203" s="276"/>
      <c r="I203" s="276"/>
      <c r="J203" s="277" t="s">
        <v>8</v>
      </c>
      <c r="K203" s="278" t="s">
        <v>66</v>
      </c>
      <c r="L203" s="279"/>
      <c r="M203" s="276" t="s">
        <v>8</v>
      </c>
      <c r="N203" s="276"/>
      <c r="O203" s="276"/>
      <c r="P203" s="280"/>
      <c r="Q203" s="361"/>
      <c r="R203" s="372" t="s">
        <v>168</v>
      </c>
    </row>
    <row r="204" spans="1:19" x14ac:dyDescent="0.35">
      <c r="A204" s="1072"/>
      <c r="B204" s="1016"/>
      <c r="C204" s="442">
        <v>174</v>
      </c>
      <c r="D204" s="25">
        <v>54.3</v>
      </c>
      <c r="E204" s="26">
        <f t="shared" si="8"/>
        <v>584.47976999999992</v>
      </c>
      <c r="F204" s="276"/>
      <c r="G204" s="276"/>
      <c r="H204" s="276" t="s">
        <v>8</v>
      </c>
      <c r="I204" s="276"/>
      <c r="J204" s="277"/>
      <c r="K204" s="278" t="s">
        <v>64</v>
      </c>
      <c r="L204" s="279" t="s">
        <v>8</v>
      </c>
      <c r="M204" s="276"/>
      <c r="N204" s="276"/>
      <c r="O204" s="276"/>
      <c r="P204" s="280"/>
      <c r="Q204" s="359"/>
      <c r="R204" s="372" t="s">
        <v>168</v>
      </c>
    </row>
    <row r="205" spans="1:19" x14ac:dyDescent="0.35">
      <c r="A205" s="1072"/>
      <c r="B205" s="1016"/>
      <c r="C205" s="442">
        <v>175</v>
      </c>
      <c r="D205" s="25">
        <v>54.3</v>
      </c>
      <c r="E205" s="26">
        <f t="shared" si="8"/>
        <v>584.47976999999992</v>
      </c>
      <c r="F205" s="276"/>
      <c r="G205" s="276"/>
      <c r="H205" s="276"/>
      <c r="I205" s="276"/>
      <c r="J205" s="277" t="s">
        <v>8</v>
      </c>
      <c r="K205" s="278" t="s">
        <v>65</v>
      </c>
      <c r="L205" s="279" t="s">
        <v>8</v>
      </c>
      <c r="M205" s="276"/>
      <c r="N205" s="276"/>
      <c r="O205" s="276"/>
      <c r="P205" s="280"/>
      <c r="Q205" s="359"/>
      <c r="R205" s="372" t="s">
        <v>168</v>
      </c>
    </row>
    <row r="206" spans="1:19" x14ac:dyDescent="0.35">
      <c r="A206" s="1072"/>
      <c r="B206" s="1016"/>
      <c r="C206" s="442">
        <v>176</v>
      </c>
      <c r="D206" s="25">
        <v>54.7</v>
      </c>
      <c r="E206" s="26">
        <f t="shared" si="8"/>
        <v>588.78533000000004</v>
      </c>
      <c r="F206" s="276"/>
      <c r="G206" s="276"/>
      <c r="H206" s="276"/>
      <c r="I206" s="276"/>
      <c r="J206" s="277" t="s">
        <v>8</v>
      </c>
      <c r="K206" s="278" t="s">
        <v>66</v>
      </c>
      <c r="L206" s="279" t="s">
        <v>8</v>
      </c>
      <c r="M206" s="276"/>
      <c r="N206" s="276"/>
      <c r="O206" s="276"/>
      <c r="P206" s="280"/>
      <c r="Q206" s="359"/>
      <c r="R206" s="372" t="s">
        <v>168</v>
      </c>
    </row>
    <row r="207" spans="1:19" x14ac:dyDescent="0.35">
      <c r="A207" s="1072"/>
      <c r="B207" s="1016"/>
      <c r="C207" s="442">
        <v>177</v>
      </c>
      <c r="D207" s="25">
        <v>54.3</v>
      </c>
      <c r="E207" s="26">
        <f t="shared" si="8"/>
        <v>584.47976999999992</v>
      </c>
      <c r="F207" s="276"/>
      <c r="G207" s="276"/>
      <c r="H207" s="276"/>
      <c r="I207" s="276"/>
      <c r="J207" s="277" t="s">
        <v>8</v>
      </c>
      <c r="K207" s="278" t="s">
        <v>65</v>
      </c>
      <c r="L207" s="279" t="s">
        <v>8</v>
      </c>
      <c r="M207" s="276"/>
      <c r="N207" s="276"/>
      <c r="O207" s="276"/>
      <c r="P207" s="280"/>
      <c r="Q207" s="359"/>
      <c r="R207" s="372" t="s">
        <v>168</v>
      </c>
    </row>
    <row r="208" spans="1:19" x14ac:dyDescent="0.35">
      <c r="A208" s="1072"/>
      <c r="B208" s="1016"/>
      <c r="C208" s="442">
        <v>178</v>
      </c>
      <c r="D208" s="25">
        <v>54.7</v>
      </c>
      <c r="E208" s="26">
        <f t="shared" si="8"/>
        <v>588.78533000000004</v>
      </c>
      <c r="F208" s="276"/>
      <c r="G208" s="276"/>
      <c r="H208" s="276"/>
      <c r="I208" s="276"/>
      <c r="J208" s="277" t="s">
        <v>8</v>
      </c>
      <c r="K208" s="278" t="s">
        <v>66</v>
      </c>
      <c r="L208" s="279" t="s">
        <v>8</v>
      </c>
      <c r="M208" s="276"/>
      <c r="N208" s="276"/>
      <c r="O208" s="276"/>
      <c r="P208" s="280"/>
      <c r="Q208" s="359"/>
      <c r="R208" s="372" t="s">
        <v>168</v>
      </c>
    </row>
    <row r="209" spans="1:19" x14ac:dyDescent="0.35">
      <c r="A209" s="1072"/>
      <c r="B209" s="1016"/>
      <c r="C209" s="442">
        <v>179</v>
      </c>
      <c r="D209" s="25">
        <v>54.3</v>
      </c>
      <c r="E209" s="26">
        <f t="shared" si="8"/>
        <v>584.47976999999992</v>
      </c>
      <c r="F209" s="276"/>
      <c r="G209" s="276"/>
      <c r="H209" s="276"/>
      <c r="I209" s="276"/>
      <c r="J209" s="277" t="s">
        <v>8</v>
      </c>
      <c r="K209" s="278" t="s">
        <v>65</v>
      </c>
      <c r="L209" s="279" t="s">
        <v>8</v>
      </c>
      <c r="M209" s="276"/>
      <c r="N209" s="276"/>
      <c r="O209" s="276"/>
      <c r="P209" s="280"/>
      <c r="Q209" s="359"/>
      <c r="R209" s="372" t="s">
        <v>168</v>
      </c>
    </row>
    <row r="210" spans="1:19" x14ac:dyDescent="0.35">
      <c r="A210" s="1072"/>
      <c r="B210" s="1016"/>
      <c r="C210" s="442">
        <v>180</v>
      </c>
      <c r="D210" s="25">
        <v>54.7</v>
      </c>
      <c r="E210" s="26">
        <f t="shared" si="8"/>
        <v>588.78533000000004</v>
      </c>
      <c r="F210" s="276"/>
      <c r="G210" s="276"/>
      <c r="H210" s="276"/>
      <c r="I210" s="276"/>
      <c r="J210" s="277" t="s">
        <v>8</v>
      </c>
      <c r="K210" s="278" t="s">
        <v>65</v>
      </c>
      <c r="L210" s="279" t="s">
        <v>8</v>
      </c>
      <c r="M210" s="276"/>
      <c r="N210" s="276"/>
      <c r="O210" s="276"/>
      <c r="P210" s="280"/>
      <c r="Q210" s="359"/>
      <c r="R210" s="372" t="s">
        <v>168</v>
      </c>
    </row>
    <row r="211" spans="1:19" x14ac:dyDescent="0.35">
      <c r="A211" s="1072"/>
      <c r="B211" s="1016"/>
      <c r="C211" s="442">
        <v>181</v>
      </c>
      <c r="D211" s="25">
        <v>54.7</v>
      </c>
      <c r="E211" s="26">
        <f t="shared" si="8"/>
        <v>588.78533000000004</v>
      </c>
      <c r="F211" s="276"/>
      <c r="G211" s="276"/>
      <c r="H211" s="276"/>
      <c r="I211" s="276"/>
      <c r="J211" s="277" t="s">
        <v>8</v>
      </c>
      <c r="K211" s="278" t="s">
        <v>66</v>
      </c>
      <c r="L211" s="279" t="s">
        <v>8</v>
      </c>
      <c r="M211" s="276"/>
      <c r="N211" s="276"/>
      <c r="O211" s="276"/>
      <c r="P211" s="280"/>
      <c r="Q211" s="359"/>
      <c r="R211" s="372" t="s">
        <v>168</v>
      </c>
    </row>
    <row r="212" spans="1:19" x14ac:dyDescent="0.35">
      <c r="A212" s="1072"/>
      <c r="B212" s="1016"/>
      <c r="C212" s="442">
        <v>182</v>
      </c>
      <c r="D212" s="25">
        <v>54.7</v>
      </c>
      <c r="E212" s="26">
        <f t="shared" ref="E212:E223" si="9">SUM(D212*10.7639)</f>
        <v>588.78533000000004</v>
      </c>
      <c r="F212" s="276"/>
      <c r="G212" s="276"/>
      <c r="H212" s="276" t="s">
        <v>8</v>
      </c>
      <c r="I212" s="276"/>
      <c r="J212" s="277"/>
      <c r="K212" s="278" t="s">
        <v>163</v>
      </c>
      <c r="L212" s="279" t="s">
        <v>8</v>
      </c>
      <c r="M212" s="276"/>
      <c r="N212" s="276"/>
      <c r="O212" s="276"/>
      <c r="P212" s="280"/>
      <c r="Q212" s="361"/>
      <c r="R212" s="372" t="s">
        <v>168</v>
      </c>
    </row>
    <row r="213" spans="1:19" ht="17.25" customHeight="1" x14ac:dyDescent="0.35">
      <c r="A213" s="1072"/>
      <c r="B213" s="1016"/>
      <c r="C213" s="442">
        <v>183</v>
      </c>
      <c r="D213" s="25">
        <v>93.1</v>
      </c>
      <c r="E213" s="26">
        <f t="shared" si="9"/>
        <v>1002.1190899999999</v>
      </c>
      <c r="F213" s="276"/>
      <c r="G213" s="276"/>
      <c r="H213" s="276" t="s">
        <v>8</v>
      </c>
      <c r="I213" s="276"/>
      <c r="J213" s="277"/>
      <c r="K213" s="278" t="s">
        <v>65</v>
      </c>
      <c r="L213" s="279"/>
      <c r="M213" s="276"/>
      <c r="N213" s="276" t="s">
        <v>8</v>
      </c>
      <c r="O213" s="276"/>
      <c r="P213" s="280"/>
      <c r="Q213" s="359"/>
      <c r="R213" s="371" t="s">
        <v>170</v>
      </c>
    </row>
    <row r="214" spans="1:19" x14ac:dyDescent="0.35">
      <c r="A214" s="1072"/>
      <c r="B214" s="1016"/>
      <c r="C214" s="442">
        <v>184</v>
      </c>
      <c r="D214" s="25">
        <v>49.9</v>
      </c>
      <c r="E214" s="26">
        <f t="shared" si="9"/>
        <v>537.11860999999999</v>
      </c>
      <c r="F214" s="276"/>
      <c r="G214" s="276"/>
      <c r="H214" s="276"/>
      <c r="I214" s="276"/>
      <c r="J214" s="277" t="s">
        <v>8</v>
      </c>
      <c r="K214" s="278" t="s">
        <v>65</v>
      </c>
      <c r="L214" s="279" t="s">
        <v>8</v>
      </c>
      <c r="M214" s="276"/>
      <c r="N214" s="276"/>
      <c r="O214" s="276"/>
      <c r="P214" s="280"/>
      <c r="Q214" s="359"/>
      <c r="R214" s="372" t="s">
        <v>168</v>
      </c>
    </row>
    <row r="215" spans="1:19" x14ac:dyDescent="0.35">
      <c r="A215" s="1072"/>
      <c r="B215" s="1016"/>
      <c r="C215" s="442">
        <v>185</v>
      </c>
      <c r="D215" s="25">
        <v>51.7</v>
      </c>
      <c r="E215" s="26">
        <f t="shared" si="9"/>
        <v>556.49363000000005</v>
      </c>
      <c r="F215" s="276"/>
      <c r="G215" s="276"/>
      <c r="H215" s="276"/>
      <c r="I215" s="276"/>
      <c r="J215" s="277" t="s">
        <v>8</v>
      </c>
      <c r="K215" s="278" t="s">
        <v>65</v>
      </c>
      <c r="L215" s="279" t="s">
        <v>8</v>
      </c>
      <c r="M215" s="276"/>
      <c r="N215" s="276"/>
      <c r="O215" s="276"/>
      <c r="P215" s="280"/>
      <c r="Q215" s="359"/>
      <c r="R215" s="372" t="s">
        <v>168</v>
      </c>
    </row>
    <row r="216" spans="1:19" x14ac:dyDescent="0.35">
      <c r="A216" s="1072"/>
      <c r="B216" s="1016"/>
      <c r="C216" s="442">
        <v>186</v>
      </c>
      <c r="D216" s="25">
        <v>50.2</v>
      </c>
      <c r="E216" s="26">
        <f t="shared" si="9"/>
        <v>540.34778000000006</v>
      </c>
      <c r="F216" s="276"/>
      <c r="G216" s="276"/>
      <c r="H216" s="276"/>
      <c r="I216" s="276"/>
      <c r="J216" s="277" t="s">
        <v>8</v>
      </c>
      <c r="K216" s="278" t="s">
        <v>65</v>
      </c>
      <c r="L216" s="279" t="s">
        <v>8</v>
      </c>
      <c r="M216" s="276"/>
      <c r="N216" s="276"/>
      <c r="O216" s="276"/>
      <c r="P216" s="280"/>
      <c r="Q216" s="361"/>
      <c r="R216" s="372" t="s">
        <v>168</v>
      </c>
    </row>
    <row r="217" spans="1:19" x14ac:dyDescent="0.35">
      <c r="A217" s="1072"/>
      <c r="B217" s="1016"/>
      <c r="C217" s="442">
        <v>187</v>
      </c>
      <c r="D217" s="25">
        <v>53.6</v>
      </c>
      <c r="E217" s="26">
        <f t="shared" si="9"/>
        <v>576.94503999999995</v>
      </c>
      <c r="F217" s="276"/>
      <c r="G217" s="276"/>
      <c r="H217" s="276"/>
      <c r="I217" s="276"/>
      <c r="J217" s="277" t="s">
        <v>8</v>
      </c>
      <c r="K217" s="278" t="s">
        <v>66</v>
      </c>
      <c r="L217" s="279" t="s">
        <v>8</v>
      </c>
      <c r="M217" s="276"/>
      <c r="N217" s="276"/>
      <c r="O217" s="276"/>
      <c r="P217" s="280"/>
      <c r="Q217" s="359"/>
      <c r="R217" s="372" t="s">
        <v>168</v>
      </c>
    </row>
    <row r="218" spans="1:19" x14ac:dyDescent="0.35">
      <c r="A218" s="1072"/>
      <c r="B218" s="1016"/>
      <c r="C218" s="442">
        <v>188</v>
      </c>
      <c r="D218" s="25">
        <v>50.1</v>
      </c>
      <c r="E218" s="26">
        <f t="shared" si="9"/>
        <v>539.27139</v>
      </c>
      <c r="F218" s="276"/>
      <c r="G218" s="276"/>
      <c r="H218" s="276"/>
      <c r="I218" s="276"/>
      <c r="J218" s="277" t="s">
        <v>8</v>
      </c>
      <c r="K218" s="278" t="s">
        <v>65</v>
      </c>
      <c r="L218" s="279" t="s">
        <v>8</v>
      </c>
      <c r="M218" s="276"/>
      <c r="N218" s="276"/>
      <c r="O218" s="276"/>
      <c r="P218" s="280"/>
      <c r="Q218" s="360"/>
      <c r="R218" s="372" t="s">
        <v>168</v>
      </c>
    </row>
    <row r="219" spans="1:19" x14ac:dyDescent="0.35">
      <c r="A219" s="1072"/>
      <c r="B219" s="1016"/>
      <c r="C219" s="519">
        <v>189</v>
      </c>
      <c r="D219" s="25">
        <v>40.5</v>
      </c>
      <c r="E219" s="26">
        <f t="shared" si="9"/>
        <v>435.93795</v>
      </c>
      <c r="F219" s="276"/>
      <c r="G219" s="276"/>
      <c r="H219" s="276"/>
      <c r="I219" s="276"/>
      <c r="J219" s="277" t="s">
        <v>8</v>
      </c>
      <c r="K219" s="278" t="s">
        <v>65</v>
      </c>
      <c r="L219" s="279" t="s">
        <v>8</v>
      </c>
      <c r="M219" s="276"/>
      <c r="N219" s="276"/>
      <c r="O219" s="276"/>
      <c r="P219" s="280"/>
      <c r="Q219" s="361"/>
      <c r="R219" s="372" t="s">
        <v>168</v>
      </c>
      <c r="S219" s="2" t="s">
        <v>8</v>
      </c>
    </row>
    <row r="220" spans="1:19" x14ac:dyDescent="0.35">
      <c r="A220" s="1072"/>
      <c r="B220" s="1016"/>
      <c r="C220" s="519">
        <v>190</v>
      </c>
      <c r="D220" s="25">
        <v>40.5</v>
      </c>
      <c r="E220" s="26">
        <f t="shared" si="9"/>
        <v>435.93795</v>
      </c>
      <c r="F220" s="276"/>
      <c r="G220" s="276"/>
      <c r="H220" s="276"/>
      <c r="I220" s="276"/>
      <c r="J220" s="277" t="s">
        <v>8</v>
      </c>
      <c r="K220" s="278" t="s">
        <v>65</v>
      </c>
      <c r="L220" s="279" t="s">
        <v>8</v>
      </c>
      <c r="M220" s="276"/>
      <c r="N220" s="276"/>
      <c r="O220" s="276"/>
      <c r="P220" s="280"/>
      <c r="Q220" s="359"/>
      <c r="R220" s="372" t="s">
        <v>168</v>
      </c>
      <c r="S220" s="2" t="s">
        <v>8</v>
      </c>
    </row>
    <row r="221" spans="1:19" x14ac:dyDescent="0.35">
      <c r="A221" s="1072"/>
      <c r="B221" s="1016"/>
      <c r="C221" s="519">
        <v>191</v>
      </c>
      <c r="D221" s="25">
        <v>40.5</v>
      </c>
      <c r="E221" s="26">
        <f t="shared" si="9"/>
        <v>435.93795</v>
      </c>
      <c r="F221" s="276"/>
      <c r="G221" s="276"/>
      <c r="H221" s="276"/>
      <c r="I221" s="276"/>
      <c r="J221" s="277" t="s">
        <v>8</v>
      </c>
      <c r="K221" s="278" t="s">
        <v>65</v>
      </c>
      <c r="L221" s="279" t="s">
        <v>8</v>
      </c>
      <c r="M221" s="276"/>
      <c r="N221" s="276"/>
      <c r="O221" s="276"/>
      <c r="P221" s="280"/>
      <c r="Q221" s="361"/>
      <c r="R221" s="372" t="s">
        <v>168</v>
      </c>
      <c r="S221" s="2" t="s">
        <v>8</v>
      </c>
    </row>
    <row r="222" spans="1:19" x14ac:dyDescent="0.35">
      <c r="A222" s="1072"/>
      <c r="B222" s="1016"/>
      <c r="C222" s="519">
        <v>192</v>
      </c>
      <c r="D222" s="25">
        <v>40.5</v>
      </c>
      <c r="E222" s="26">
        <f t="shared" si="9"/>
        <v>435.93795</v>
      </c>
      <c r="F222" s="276"/>
      <c r="G222" s="276"/>
      <c r="H222" s="276"/>
      <c r="I222" s="276"/>
      <c r="J222" s="277" t="s">
        <v>8</v>
      </c>
      <c r="K222" s="278" t="s">
        <v>65</v>
      </c>
      <c r="L222" s="279" t="s">
        <v>8</v>
      </c>
      <c r="M222" s="276"/>
      <c r="N222" s="276"/>
      <c r="O222" s="276"/>
      <c r="P222" s="280"/>
      <c r="Q222" s="359"/>
      <c r="R222" s="372" t="s">
        <v>168</v>
      </c>
      <c r="S222" s="2" t="s">
        <v>8</v>
      </c>
    </row>
    <row r="223" spans="1:19" x14ac:dyDescent="0.35">
      <c r="A223" s="1072"/>
      <c r="B223" s="1016"/>
      <c r="C223" s="519">
        <v>193</v>
      </c>
      <c r="D223" s="25">
        <v>40.5</v>
      </c>
      <c r="E223" s="26">
        <f t="shared" si="9"/>
        <v>435.93795</v>
      </c>
      <c r="F223" s="276"/>
      <c r="G223" s="276"/>
      <c r="H223" s="276"/>
      <c r="I223" s="276"/>
      <c r="J223" s="277" t="s">
        <v>8</v>
      </c>
      <c r="K223" s="278" t="s">
        <v>65</v>
      </c>
      <c r="L223" s="279" t="s">
        <v>8</v>
      </c>
      <c r="M223" s="276"/>
      <c r="N223" s="276"/>
      <c r="O223" s="276"/>
      <c r="P223" s="280"/>
      <c r="Q223" s="361"/>
      <c r="R223" s="372" t="s">
        <v>168</v>
      </c>
      <c r="S223" s="2" t="s">
        <v>8</v>
      </c>
    </row>
    <row r="224" spans="1:19" x14ac:dyDescent="0.35">
      <c r="A224" s="1072"/>
      <c r="B224" s="1016"/>
      <c r="C224" s="442">
        <v>194</v>
      </c>
      <c r="D224" s="25">
        <v>73.5</v>
      </c>
      <c r="E224" s="26">
        <f>SUM(D224*10.7639)</f>
        <v>791.14665000000002</v>
      </c>
      <c r="F224" s="276"/>
      <c r="G224" s="276"/>
      <c r="H224" s="276"/>
      <c r="I224" s="276"/>
      <c r="J224" s="277" t="s">
        <v>8</v>
      </c>
      <c r="K224" s="278" t="s">
        <v>65</v>
      </c>
      <c r="L224" s="279"/>
      <c r="M224" s="276" t="s">
        <v>8</v>
      </c>
      <c r="N224" s="276"/>
      <c r="O224" s="276"/>
      <c r="P224" s="280"/>
      <c r="Q224" s="359"/>
      <c r="R224" s="372" t="s">
        <v>168</v>
      </c>
    </row>
    <row r="225" spans="1:18" x14ac:dyDescent="0.35">
      <c r="A225" s="1072"/>
      <c r="B225" s="1016"/>
      <c r="C225" s="442">
        <v>195</v>
      </c>
      <c r="D225" s="25">
        <v>49.9</v>
      </c>
      <c r="E225" s="26">
        <f t="shared" ref="E225:E272" si="10">SUM(D225*10.7639)</f>
        <v>537.11860999999999</v>
      </c>
      <c r="F225" s="276"/>
      <c r="G225" s="276"/>
      <c r="H225" s="276"/>
      <c r="I225" s="276"/>
      <c r="J225" s="277" t="s">
        <v>8</v>
      </c>
      <c r="K225" s="278" t="s">
        <v>65</v>
      </c>
      <c r="L225" s="279" t="s">
        <v>8</v>
      </c>
      <c r="M225" s="276"/>
      <c r="N225" s="276"/>
      <c r="O225" s="276"/>
      <c r="P225" s="280"/>
      <c r="Q225" s="360"/>
      <c r="R225" s="372" t="s">
        <v>168</v>
      </c>
    </row>
    <row r="226" spans="1:18" x14ac:dyDescent="0.35">
      <c r="A226" s="1072"/>
      <c r="B226" s="1016"/>
      <c r="C226" s="442">
        <v>196</v>
      </c>
      <c r="D226" s="25">
        <v>51.7</v>
      </c>
      <c r="E226" s="26">
        <f t="shared" si="10"/>
        <v>556.49363000000005</v>
      </c>
      <c r="F226" s="276"/>
      <c r="G226" s="276"/>
      <c r="H226" s="276"/>
      <c r="I226" s="276"/>
      <c r="J226" s="277" t="s">
        <v>8</v>
      </c>
      <c r="K226" s="278" t="s">
        <v>65</v>
      </c>
      <c r="L226" s="279" t="s">
        <v>8</v>
      </c>
      <c r="M226" s="276"/>
      <c r="N226" s="276"/>
      <c r="O226" s="276"/>
      <c r="P226" s="280"/>
      <c r="Q226" s="360"/>
      <c r="R226" s="372" t="s">
        <v>168</v>
      </c>
    </row>
    <row r="227" spans="1:18" x14ac:dyDescent="0.35">
      <c r="A227" s="1072"/>
      <c r="B227" s="1016"/>
      <c r="C227" s="442">
        <v>197</v>
      </c>
      <c r="D227" s="25">
        <v>50.2</v>
      </c>
      <c r="E227" s="26">
        <f t="shared" si="10"/>
        <v>540.34778000000006</v>
      </c>
      <c r="F227" s="276"/>
      <c r="G227" s="276"/>
      <c r="H227" s="276"/>
      <c r="I227" s="276"/>
      <c r="J227" s="277" t="s">
        <v>8</v>
      </c>
      <c r="K227" s="278" t="s">
        <v>65</v>
      </c>
      <c r="L227" s="279" t="s">
        <v>8</v>
      </c>
      <c r="M227" s="276"/>
      <c r="N227" s="276"/>
      <c r="O227" s="276"/>
      <c r="P227" s="280"/>
      <c r="Q227" s="361"/>
      <c r="R227" s="372" t="s">
        <v>168</v>
      </c>
    </row>
    <row r="228" spans="1:18" x14ac:dyDescent="0.35">
      <c r="A228" s="1072"/>
      <c r="B228" s="1016"/>
      <c r="C228" s="442">
        <v>198</v>
      </c>
      <c r="D228" s="25">
        <v>53.6</v>
      </c>
      <c r="E228" s="26">
        <f t="shared" si="10"/>
        <v>576.94503999999995</v>
      </c>
      <c r="F228" s="276"/>
      <c r="G228" s="276"/>
      <c r="H228" s="276"/>
      <c r="I228" s="276"/>
      <c r="J228" s="277" t="s">
        <v>8</v>
      </c>
      <c r="K228" s="278" t="s">
        <v>66</v>
      </c>
      <c r="L228" s="279" t="s">
        <v>8</v>
      </c>
      <c r="M228" s="276"/>
      <c r="N228" s="276"/>
      <c r="O228" s="276"/>
      <c r="P228" s="280"/>
      <c r="Q228" s="359"/>
      <c r="R228" s="372" t="s">
        <v>168</v>
      </c>
    </row>
    <row r="229" spans="1:18" x14ac:dyDescent="0.35">
      <c r="A229" s="1072"/>
      <c r="B229" s="1016"/>
      <c r="C229" s="442">
        <v>199</v>
      </c>
      <c r="D229" s="25">
        <v>50.1</v>
      </c>
      <c r="E229" s="26">
        <f t="shared" si="10"/>
        <v>539.27139</v>
      </c>
      <c r="F229" s="276"/>
      <c r="G229" s="276"/>
      <c r="H229" s="276"/>
      <c r="I229" s="276"/>
      <c r="J229" s="277" t="s">
        <v>8</v>
      </c>
      <c r="K229" s="278" t="s">
        <v>65</v>
      </c>
      <c r="L229" s="279" t="s">
        <v>8</v>
      </c>
      <c r="M229" s="276"/>
      <c r="N229" s="276"/>
      <c r="O229" s="276"/>
      <c r="P229" s="280"/>
      <c r="Q229" s="359"/>
      <c r="R229" s="372" t="s">
        <v>168</v>
      </c>
    </row>
    <row r="230" spans="1:18" x14ac:dyDescent="0.35">
      <c r="A230" s="1072"/>
      <c r="B230" s="1016"/>
      <c r="C230" s="442">
        <v>200</v>
      </c>
      <c r="D230" s="25">
        <v>81</v>
      </c>
      <c r="E230" s="26">
        <f t="shared" si="10"/>
        <v>871.8759</v>
      </c>
      <c r="F230" s="276"/>
      <c r="G230" s="276"/>
      <c r="H230" s="276"/>
      <c r="I230" s="276" t="s">
        <v>8</v>
      </c>
      <c r="J230" s="277"/>
      <c r="K230" s="278" t="s">
        <v>65</v>
      </c>
      <c r="L230" s="279"/>
      <c r="M230" s="276" t="s">
        <v>8</v>
      </c>
      <c r="N230" s="276"/>
      <c r="O230" s="276"/>
      <c r="P230" s="280"/>
      <c r="Q230" s="362"/>
      <c r="R230" s="371" t="s">
        <v>170</v>
      </c>
    </row>
    <row r="231" spans="1:18" x14ac:dyDescent="0.35">
      <c r="A231" s="1072"/>
      <c r="B231" s="1016"/>
      <c r="C231" s="442">
        <v>201</v>
      </c>
      <c r="D231" s="25">
        <v>87.2</v>
      </c>
      <c r="E231" s="26">
        <f t="shared" si="10"/>
        <v>938.61207999999999</v>
      </c>
      <c r="F231" s="276"/>
      <c r="G231" s="276"/>
      <c r="H231" s="276"/>
      <c r="I231" s="276" t="s">
        <v>8</v>
      </c>
      <c r="J231" s="277"/>
      <c r="K231" s="278" t="s">
        <v>65</v>
      </c>
      <c r="L231" s="279"/>
      <c r="M231" s="276" t="s">
        <v>8</v>
      </c>
      <c r="N231" s="276"/>
      <c r="O231" s="276"/>
      <c r="P231" s="280"/>
      <c r="Q231" s="359"/>
      <c r="R231" s="371" t="s">
        <v>170</v>
      </c>
    </row>
    <row r="232" spans="1:18" x14ac:dyDescent="0.35">
      <c r="A232" s="1072"/>
      <c r="B232" s="1016"/>
      <c r="C232" s="442">
        <v>202</v>
      </c>
      <c r="D232" s="25">
        <v>81</v>
      </c>
      <c r="E232" s="26">
        <f t="shared" si="10"/>
        <v>871.8759</v>
      </c>
      <c r="F232" s="276"/>
      <c r="G232" s="276"/>
      <c r="H232" s="276"/>
      <c r="I232" s="276" t="s">
        <v>8</v>
      </c>
      <c r="J232" s="277"/>
      <c r="K232" s="278" t="s">
        <v>65</v>
      </c>
      <c r="L232" s="279"/>
      <c r="M232" s="276" t="s">
        <v>8</v>
      </c>
      <c r="N232" s="276"/>
      <c r="O232" s="276"/>
      <c r="P232" s="280"/>
      <c r="Q232" s="362"/>
      <c r="R232" s="371" t="s">
        <v>170</v>
      </c>
    </row>
    <row r="233" spans="1:18" x14ac:dyDescent="0.35">
      <c r="A233" s="1072"/>
      <c r="B233" s="1016"/>
      <c r="C233" s="442">
        <v>203</v>
      </c>
      <c r="D233" s="25">
        <v>81</v>
      </c>
      <c r="E233" s="26">
        <f t="shared" si="10"/>
        <v>871.8759</v>
      </c>
      <c r="F233" s="276"/>
      <c r="G233" s="276"/>
      <c r="H233" s="276"/>
      <c r="I233" s="276" t="s">
        <v>8</v>
      </c>
      <c r="J233" s="277"/>
      <c r="K233" s="278" t="s">
        <v>65</v>
      </c>
      <c r="L233" s="279"/>
      <c r="M233" s="276" t="s">
        <v>8</v>
      </c>
      <c r="N233" s="276"/>
      <c r="O233" s="276"/>
      <c r="P233" s="280"/>
      <c r="Q233" s="359"/>
      <c r="R233" s="371" t="s">
        <v>170</v>
      </c>
    </row>
    <row r="234" spans="1:18" x14ac:dyDescent="0.35">
      <c r="A234" s="1072"/>
      <c r="B234" s="1016"/>
      <c r="C234" s="442">
        <v>204</v>
      </c>
      <c r="D234" s="25">
        <v>81</v>
      </c>
      <c r="E234" s="26">
        <f t="shared" si="10"/>
        <v>871.8759</v>
      </c>
      <c r="F234" s="276"/>
      <c r="G234" s="276"/>
      <c r="H234" s="276"/>
      <c r="I234" s="276" t="s">
        <v>8</v>
      </c>
      <c r="J234" s="277"/>
      <c r="K234" s="278" t="s">
        <v>65</v>
      </c>
      <c r="L234" s="279"/>
      <c r="M234" s="276" t="s">
        <v>8</v>
      </c>
      <c r="N234" s="276"/>
      <c r="O234" s="276"/>
      <c r="P234" s="280"/>
      <c r="Q234" s="359"/>
      <c r="R234" s="371" t="s">
        <v>170</v>
      </c>
    </row>
    <row r="235" spans="1:18" x14ac:dyDescent="0.35">
      <c r="A235" s="1072"/>
      <c r="B235" s="1016"/>
      <c r="C235" s="442">
        <v>205</v>
      </c>
      <c r="D235" s="25">
        <v>49.9</v>
      </c>
      <c r="E235" s="26">
        <f t="shared" si="10"/>
        <v>537.11860999999999</v>
      </c>
      <c r="F235" s="276"/>
      <c r="G235" s="276"/>
      <c r="H235" s="276"/>
      <c r="I235" s="276"/>
      <c r="J235" s="277" t="s">
        <v>8</v>
      </c>
      <c r="K235" s="278" t="s">
        <v>65</v>
      </c>
      <c r="L235" s="279" t="s">
        <v>8</v>
      </c>
      <c r="M235" s="276"/>
      <c r="N235" s="276"/>
      <c r="O235" s="276"/>
      <c r="P235" s="280"/>
      <c r="Q235" s="361"/>
      <c r="R235" s="372" t="s">
        <v>168</v>
      </c>
    </row>
    <row r="236" spans="1:18" x14ac:dyDescent="0.35">
      <c r="A236" s="1072"/>
      <c r="B236" s="1016"/>
      <c r="C236" s="442">
        <v>206</v>
      </c>
      <c r="D236" s="25">
        <v>51.7</v>
      </c>
      <c r="E236" s="26">
        <f t="shared" si="10"/>
        <v>556.49363000000005</v>
      </c>
      <c r="F236" s="276"/>
      <c r="G236" s="276"/>
      <c r="H236" s="276"/>
      <c r="I236" s="276"/>
      <c r="J236" s="277" t="s">
        <v>8</v>
      </c>
      <c r="K236" s="278" t="s">
        <v>65</v>
      </c>
      <c r="L236" s="279" t="s">
        <v>8</v>
      </c>
      <c r="M236" s="276"/>
      <c r="N236" s="276"/>
      <c r="O236" s="276"/>
      <c r="P236" s="280"/>
      <c r="Q236" s="359"/>
      <c r="R236" s="372" t="s">
        <v>168</v>
      </c>
    </row>
    <row r="237" spans="1:18" x14ac:dyDescent="0.35">
      <c r="A237" s="1072"/>
      <c r="B237" s="1016"/>
      <c r="C237" s="442">
        <v>207</v>
      </c>
      <c r="D237" s="25">
        <v>50.2</v>
      </c>
      <c r="E237" s="26">
        <f t="shared" si="10"/>
        <v>540.34778000000006</v>
      </c>
      <c r="F237" s="276"/>
      <c r="G237" s="276"/>
      <c r="H237" s="276"/>
      <c r="I237" s="276"/>
      <c r="J237" s="277" t="s">
        <v>8</v>
      </c>
      <c r="K237" s="278" t="s">
        <v>65</v>
      </c>
      <c r="L237" s="279" t="s">
        <v>8</v>
      </c>
      <c r="M237" s="276"/>
      <c r="N237" s="276"/>
      <c r="O237" s="276"/>
      <c r="P237" s="280"/>
      <c r="Q237" s="360"/>
      <c r="R237" s="372" t="s">
        <v>168</v>
      </c>
    </row>
    <row r="238" spans="1:18" x14ac:dyDescent="0.35">
      <c r="A238" s="1072"/>
      <c r="B238" s="1016"/>
      <c r="C238" s="442">
        <v>208</v>
      </c>
      <c r="D238" s="25">
        <v>53.6</v>
      </c>
      <c r="E238" s="26">
        <f t="shared" si="10"/>
        <v>576.94503999999995</v>
      </c>
      <c r="F238" s="276"/>
      <c r="G238" s="276"/>
      <c r="H238" s="276"/>
      <c r="I238" s="276"/>
      <c r="J238" s="277" t="s">
        <v>8</v>
      </c>
      <c r="K238" s="278" t="s">
        <v>65</v>
      </c>
      <c r="L238" s="279" t="s">
        <v>8</v>
      </c>
      <c r="M238" s="276"/>
      <c r="N238" s="276"/>
      <c r="O238" s="276"/>
      <c r="P238" s="280"/>
      <c r="Q238" s="361"/>
      <c r="R238" s="372" t="s">
        <v>168</v>
      </c>
    </row>
    <row r="239" spans="1:18" x14ac:dyDescent="0.35">
      <c r="A239" s="1072"/>
      <c r="B239" s="1016"/>
      <c r="C239" s="442">
        <v>209</v>
      </c>
      <c r="D239" s="25">
        <v>50.1</v>
      </c>
      <c r="E239" s="26">
        <f t="shared" si="10"/>
        <v>539.27139</v>
      </c>
      <c r="F239" s="276"/>
      <c r="G239" s="276"/>
      <c r="H239" s="276"/>
      <c r="I239" s="276"/>
      <c r="J239" s="277" t="s">
        <v>8</v>
      </c>
      <c r="K239" s="278" t="s">
        <v>65</v>
      </c>
      <c r="L239" s="279" t="s">
        <v>8</v>
      </c>
      <c r="M239" s="276"/>
      <c r="N239" s="276"/>
      <c r="O239" s="276"/>
      <c r="P239" s="280"/>
      <c r="Q239" s="359"/>
      <c r="R239" s="372" t="s">
        <v>168</v>
      </c>
    </row>
    <row r="240" spans="1:18" x14ac:dyDescent="0.35">
      <c r="A240" s="1072"/>
      <c r="B240" s="1016"/>
      <c r="C240" s="442">
        <v>210</v>
      </c>
      <c r="D240" s="25">
        <v>49.9</v>
      </c>
      <c r="E240" s="26">
        <f t="shared" si="10"/>
        <v>537.11860999999999</v>
      </c>
      <c r="F240" s="276"/>
      <c r="G240" s="276"/>
      <c r="H240" s="276"/>
      <c r="I240" s="276"/>
      <c r="J240" s="277" t="s">
        <v>8</v>
      </c>
      <c r="K240" s="278" t="s">
        <v>65</v>
      </c>
      <c r="L240" s="279" t="s">
        <v>8</v>
      </c>
      <c r="M240" s="276"/>
      <c r="N240" s="276"/>
      <c r="O240" s="276"/>
      <c r="P240" s="280"/>
      <c r="Q240" s="359"/>
      <c r="R240" s="372" t="s">
        <v>168</v>
      </c>
    </row>
    <row r="241" spans="1:19" x14ac:dyDescent="0.35">
      <c r="A241" s="1072"/>
      <c r="B241" s="1016"/>
      <c r="C241" s="442">
        <v>211</v>
      </c>
      <c r="D241" s="25">
        <v>51.7</v>
      </c>
      <c r="E241" s="26">
        <f t="shared" si="10"/>
        <v>556.49363000000005</v>
      </c>
      <c r="F241" s="276"/>
      <c r="G241" s="276"/>
      <c r="H241" s="276"/>
      <c r="I241" s="276"/>
      <c r="J241" s="277" t="s">
        <v>8</v>
      </c>
      <c r="K241" s="278" t="s">
        <v>65</v>
      </c>
      <c r="L241" s="279" t="s">
        <v>8</v>
      </c>
      <c r="M241" s="276"/>
      <c r="N241" s="276"/>
      <c r="O241" s="276"/>
      <c r="P241" s="280"/>
      <c r="Q241" s="359"/>
      <c r="R241" s="372" t="s">
        <v>168</v>
      </c>
    </row>
    <row r="242" spans="1:19" x14ac:dyDescent="0.35">
      <c r="A242" s="1072"/>
      <c r="B242" s="1016"/>
      <c r="C242" s="442">
        <v>212</v>
      </c>
      <c r="D242" s="25">
        <v>50.2</v>
      </c>
      <c r="E242" s="26">
        <f t="shared" si="10"/>
        <v>540.34778000000006</v>
      </c>
      <c r="F242" s="276"/>
      <c r="G242" s="276"/>
      <c r="H242" s="276"/>
      <c r="I242" s="276"/>
      <c r="J242" s="277" t="s">
        <v>8</v>
      </c>
      <c r="K242" s="278" t="s">
        <v>65</v>
      </c>
      <c r="L242" s="279" t="s">
        <v>8</v>
      </c>
      <c r="M242" s="276"/>
      <c r="N242" s="276"/>
      <c r="O242" s="276"/>
      <c r="P242" s="280"/>
      <c r="Q242" s="359"/>
      <c r="R242" s="372" t="s">
        <v>168</v>
      </c>
    </row>
    <row r="243" spans="1:19" x14ac:dyDescent="0.35">
      <c r="A243" s="1072"/>
      <c r="B243" s="1016"/>
      <c r="C243" s="442" t="s">
        <v>117</v>
      </c>
      <c r="D243" s="25">
        <v>53.6</v>
      </c>
      <c r="E243" s="26">
        <f t="shared" si="10"/>
        <v>576.94503999999995</v>
      </c>
      <c r="F243" s="276"/>
      <c r="G243" s="276"/>
      <c r="H243" s="276"/>
      <c r="I243" s="276"/>
      <c r="J243" s="277" t="s">
        <v>8</v>
      </c>
      <c r="K243" s="278" t="s">
        <v>65</v>
      </c>
      <c r="L243" s="279" t="s">
        <v>8</v>
      </c>
      <c r="M243" s="276"/>
      <c r="N243" s="276"/>
      <c r="O243" s="276"/>
      <c r="P243" s="280"/>
      <c r="Q243" s="360"/>
      <c r="R243" s="372" t="s">
        <v>168</v>
      </c>
    </row>
    <row r="244" spans="1:19" x14ac:dyDescent="0.35">
      <c r="A244" s="1072"/>
      <c r="B244" s="1016"/>
      <c r="C244" s="442">
        <v>213</v>
      </c>
      <c r="D244" s="25">
        <v>49.9</v>
      </c>
      <c r="E244" s="26">
        <f t="shared" si="10"/>
        <v>537.11860999999999</v>
      </c>
      <c r="F244" s="276"/>
      <c r="G244" s="276"/>
      <c r="H244" s="276"/>
      <c r="I244" s="276"/>
      <c r="J244" s="277" t="s">
        <v>8</v>
      </c>
      <c r="K244" s="278" t="s">
        <v>65</v>
      </c>
      <c r="L244" s="279" t="s">
        <v>8</v>
      </c>
      <c r="M244" s="276"/>
      <c r="N244" s="276"/>
      <c r="O244" s="276"/>
      <c r="P244" s="280"/>
      <c r="Q244" s="361"/>
      <c r="R244" s="372" t="s">
        <v>168</v>
      </c>
    </row>
    <row r="245" spans="1:19" x14ac:dyDescent="0.35">
      <c r="A245" s="1072"/>
      <c r="B245" s="1016"/>
      <c r="C245" s="442">
        <v>214</v>
      </c>
      <c r="D245" s="25">
        <v>51.7</v>
      </c>
      <c r="E245" s="26">
        <f t="shared" si="10"/>
        <v>556.49363000000005</v>
      </c>
      <c r="F245" s="276"/>
      <c r="G245" s="276"/>
      <c r="H245" s="276"/>
      <c r="I245" s="276"/>
      <c r="J245" s="277" t="s">
        <v>8</v>
      </c>
      <c r="K245" s="278" t="s">
        <v>65</v>
      </c>
      <c r="L245" s="279" t="s">
        <v>8</v>
      </c>
      <c r="M245" s="276"/>
      <c r="N245" s="276"/>
      <c r="O245" s="276"/>
      <c r="P245" s="280"/>
      <c r="Q245" s="359"/>
      <c r="R245" s="372" t="s">
        <v>168</v>
      </c>
    </row>
    <row r="246" spans="1:19" x14ac:dyDescent="0.35">
      <c r="A246" s="1072"/>
      <c r="B246" s="1017"/>
      <c r="C246" s="442">
        <v>215</v>
      </c>
      <c r="D246" s="25">
        <v>50.2</v>
      </c>
      <c r="E246" s="26">
        <f t="shared" si="10"/>
        <v>540.34778000000006</v>
      </c>
      <c r="F246" s="276"/>
      <c r="G246" s="276"/>
      <c r="H246" s="276"/>
      <c r="I246" s="276"/>
      <c r="J246" s="277" t="s">
        <v>8</v>
      </c>
      <c r="K246" s="278" t="s">
        <v>65</v>
      </c>
      <c r="L246" s="279" t="s">
        <v>8</v>
      </c>
      <c r="M246" s="276"/>
      <c r="N246" s="276"/>
      <c r="O246" s="276"/>
      <c r="P246" s="280"/>
      <c r="Q246" s="359"/>
      <c r="R246" s="372" t="s">
        <v>168</v>
      </c>
    </row>
    <row r="247" spans="1:19" x14ac:dyDescent="0.35">
      <c r="A247" s="1072"/>
      <c r="B247" s="1019" t="s">
        <v>126</v>
      </c>
      <c r="C247" s="442">
        <v>216</v>
      </c>
      <c r="D247" s="25">
        <v>48.3</v>
      </c>
      <c r="E247" s="26">
        <f t="shared" si="10"/>
        <v>519.89636999999993</v>
      </c>
      <c r="F247" s="276"/>
      <c r="G247" s="276"/>
      <c r="H247" s="276"/>
      <c r="I247" s="276"/>
      <c r="J247" s="277" t="s">
        <v>8</v>
      </c>
      <c r="K247" s="278" t="s">
        <v>65</v>
      </c>
      <c r="L247" s="279" t="s">
        <v>8</v>
      </c>
      <c r="M247" s="276"/>
      <c r="N247" s="276"/>
      <c r="O247" s="276"/>
      <c r="P247" s="280"/>
      <c r="Q247" s="359"/>
      <c r="R247" s="372" t="s">
        <v>168</v>
      </c>
    </row>
    <row r="248" spans="1:19" ht="17.25" customHeight="1" x14ac:dyDescent="0.35">
      <c r="A248" s="1072"/>
      <c r="B248" s="1020"/>
      <c r="C248" s="442">
        <v>217</v>
      </c>
      <c r="D248" s="25">
        <v>56.2</v>
      </c>
      <c r="E248" s="26">
        <f t="shared" si="10"/>
        <v>604.93118000000004</v>
      </c>
      <c r="F248" s="276"/>
      <c r="G248" s="276"/>
      <c r="H248" s="276"/>
      <c r="I248" s="276"/>
      <c r="J248" s="277" t="s">
        <v>8</v>
      </c>
      <c r="K248" s="278" t="s">
        <v>66</v>
      </c>
      <c r="L248" s="279" t="s">
        <v>8</v>
      </c>
      <c r="M248" s="276"/>
      <c r="N248" s="276"/>
      <c r="O248" s="276"/>
      <c r="P248" s="280"/>
      <c r="Q248" s="359"/>
      <c r="R248" s="372" t="s">
        <v>168</v>
      </c>
    </row>
    <row r="249" spans="1:19" x14ac:dyDescent="0.35">
      <c r="A249" s="1072"/>
      <c r="B249" s="1020"/>
      <c r="C249" s="519">
        <v>218</v>
      </c>
      <c r="D249" s="25">
        <v>43.4</v>
      </c>
      <c r="E249" s="26">
        <f t="shared" si="10"/>
        <v>467.15325999999999</v>
      </c>
      <c r="F249" s="276"/>
      <c r="G249" s="276"/>
      <c r="H249" s="276"/>
      <c r="I249" s="276"/>
      <c r="J249" s="277" t="s">
        <v>8</v>
      </c>
      <c r="K249" s="278" t="s">
        <v>65</v>
      </c>
      <c r="L249" s="279" t="s">
        <v>8</v>
      </c>
      <c r="M249" s="276"/>
      <c r="N249" s="276"/>
      <c r="O249" s="276"/>
      <c r="P249" s="280"/>
      <c r="Q249" s="360"/>
      <c r="R249" s="372" t="s">
        <v>168</v>
      </c>
      <c r="S249" s="2" t="s">
        <v>8</v>
      </c>
    </row>
    <row r="250" spans="1:19" x14ac:dyDescent="0.35">
      <c r="A250" s="1072"/>
      <c r="B250" s="1020"/>
      <c r="C250" s="519">
        <v>219</v>
      </c>
      <c r="D250" s="25">
        <v>43.4</v>
      </c>
      <c r="E250" s="26">
        <f t="shared" si="10"/>
        <v>467.15325999999999</v>
      </c>
      <c r="F250" s="276"/>
      <c r="G250" s="276"/>
      <c r="H250" s="276"/>
      <c r="I250" s="276"/>
      <c r="J250" s="277" t="s">
        <v>8</v>
      </c>
      <c r="K250" s="278" t="s">
        <v>66</v>
      </c>
      <c r="L250" s="279" t="s">
        <v>8</v>
      </c>
      <c r="M250" s="276"/>
      <c r="N250" s="276"/>
      <c r="O250" s="276"/>
      <c r="P250" s="280"/>
      <c r="Q250" s="361"/>
      <c r="R250" s="372" t="s">
        <v>168</v>
      </c>
      <c r="S250" s="2" t="s">
        <v>8</v>
      </c>
    </row>
    <row r="251" spans="1:19" x14ac:dyDescent="0.35">
      <c r="A251" s="1072"/>
      <c r="B251" s="1020"/>
      <c r="C251" s="519">
        <v>220</v>
      </c>
      <c r="D251" s="25">
        <v>43.4</v>
      </c>
      <c r="E251" s="26">
        <f t="shared" si="10"/>
        <v>467.15325999999999</v>
      </c>
      <c r="F251" s="276"/>
      <c r="G251" s="276"/>
      <c r="H251" s="276"/>
      <c r="I251" s="276"/>
      <c r="J251" s="277" t="s">
        <v>8</v>
      </c>
      <c r="K251" s="278" t="s">
        <v>65</v>
      </c>
      <c r="L251" s="279" t="s">
        <v>8</v>
      </c>
      <c r="M251" s="276"/>
      <c r="N251" s="276"/>
      <c r="O251" s="276"/>
      <c r="P251" s="280"/>
      <c r="Q251" s="359"/>
      <c r="R251" s="372" t="s">
        <v>168</v>
      </c>
      <c r="S251" s="2" t="s">
        <v>8</v>
      </c>
    </row>
    <row r="252" spans="1:19" x14ac:dyDescent="0.35">
      <c r="A252" s="1072"/>
      <c r="B252" s="1020"/>
      <c r="C252" s="519">
        <v>221</v>
      </c>
      <c r="D252" s="25">
        <v>43.4</v>
      </c>
      <c r="E252" s="26">
        <f t="shared" si="10"/>
        <v>467.15325999999999</v>
      </c>
      <c r="F252" s="276"/>
      <c r="G252" s="276"/>
      <c r="H252" s="276"/>
      <c r="I252" s="276"/>
      <c r="J252" s="277" t="s">
        <v>8</v>
      </c>
      <c r="K252" s="278" t="s">
        <v>66</v>
      </c>
      <c r="L252" s="279" t="s">
        <v>8</v>
      </c>
      <c r="M252" s="276"/>
      <c r="N252" s="276"/>
      <c r="O252" s="276"/>
      <c r="P252" s="280"/>
      <c r="Q252" s="359"/>
      <c r="R252" s="372" t="s">
        <v>168</v>
      </c>
      <c r="S252" s="2" t="s">
        <v>8</v>
      </c>
    </row>
    <row r="253" spans="1:19" x14ac:dyDescent="0.35">
      <c r="A253" s="1072"/>
      <c r="B253" s="1020"/>
      <c r="C253" s="519">
        <v>222</v>
      </c>
      <c r="D253" s="25">
        <v>43.4</v>
      </c>
      <c r="E253" s="26">
        <f t="shared" si="10"/>
        <v>467.15325999999999</v>
      </c>
      <c r="F253" s="276"/>
      <c r="G253" s="276"/>
      <c r="H253" s="276"/>
      <c r="I253" s="276"/>
      <c r="J253" s="277" t="s">
        <v>8</v>
      </c>
      <c r="K253" s="278" t="s">
        <v>65</v>
      </c>
      <c r="L253" s="279" t="s">
        <v>8</v>
      </c>
      <c r="M253" s="276"/>
      <c r="N253" s="276"/>
      <c r="O253" s="276"/>
      <c r="P253" s="280"/>
      <c r="Q253" s="359"/>
      <c r="R253" s="372" t="s">
        <v>168</v>
      </c>
      <c r="S253" s="2" t="s">
        <v>8</v>
      </c>
    </row>
    <row r="254" spans="1:19" x14ac:dyDescent="0.35">
      <c r="A254" s="1072"/>
      <c r="B254" s="1020"/>
      <c r="C254" s="519">
        <v>223</v>
      </c>
      <c r="D254" s="25">
        <v>43.4</v>
      </c>
      <c r="E254" s="26">
        <f t="shared" si="10"/>
        <v>467.15325999999999</v>
      </c>
      <c r="F254" s="276"/>
      <c r="G254" s="276"/>
      <c r="H254" s="276"/>
      <c r="I254" s="276"/>
      <c r="J254" s="277" t="s">
        <v>8</v>
      </c>
      <c r="K254" s="278" t="s">
        <v>66</v>
      </c>
      <c r="L254" s="279" t="s">
        <v>8</v>
      </c>
      <c r="M254" s="276"/>
      <c r="N254" s="276"/>
      <c r="O254" s="276"/>
      <c r="P254" s="280"/>
      <c r="Q254" s="359"/>
      <c r="R254" s="372" t="s">
        <v>168</v>
      </c>
      <c r="S254" s="2" t="s">
        <v>8</v>
      </c>
    </row>
    <row r="255" spans="1:19" x14ac:dyDescent="0.35">
      <c r="A255" s="1072"/>
      <c r="B255" s="1020"/>
      <c r="C255" s="519">
        <v>224</v>
      </c>
      <c r="D255" s="25">
        <v>43.4</v>
      </c>
      <c r="E255" s="26">
        <f t="shared" si="10"/>
        <v>467.15325999999999</v>
      </c>
      <c r="F255" s="276"/>
      <c r="G255" s="276"/>
      <c r="H255" s="276"/>
      <c r="I255" s="276"/>
      <c r="J255" s="277" t="s">
        <v>8</v>
      </c>
      <c r="K255" s="278" t="s">
        <v>65</v>
      </c>
      <c r="L255" s="279" t="s">
        <v>8</v>
      </c>
      <c r="M255" s="276"/>
      <c r="N255" s="276"/>
      <c r="O255" s="276"/>
      <c r="P255" s="280"/>
      <c r="Q255" s="359"/>
      <c r="R255" s="372" t="s">
        <v>168</v>
      </c>
      <c r="S255" s="2" t="s">
        <v>8</v>
      </c>
    </row>
    <row r="256" spans="1:19" x14ac:dyDescent="0.35">
      <c r="A256" s="1072"/>
      <c r="B256" s="1020"/>
      <c r="C256" s="442">
        <v>225</v>
      </c>
      <c r="D256" s="25">
        <v>51.2</v>
      </c>
      <c r="E256" s="26">
        <f t="shared" si="10"/>
        <v>551.11167999999998</v>
      </c>
      <c r="F256" s="276"/>
      <c r="G256" s="276"/>
      <c r="H256" s="276"/>
      <c r="I256" s="276"/>
      <c r="J256" s="277" t="s">
        <v>8</v>
      </c>
      <c r="K256" s="278" t="s">
        <v>66</v>
      </c>
      <c r="L256" s="279" t="s">
        <v>8</v>
      </c>
      <c r="M256" s="276"/>
      <c r="N256" s="276"/>
      <c r="O256" s="276"/>
      <c r="P256" s="280"/>
      <c r="Q256" s="359"/>
      <c r="R256" s="372" t="s">
        <v>168</v>
      </c>
    </row>
    <row r="257" spans="1:19" x14ac:dyDescent="0.35">
      <c r="A257" s="1072"/>
      <c r="B257" s="1020"/>
      <c r="C257" s="519">
        <v>226</v>
      </c>
      <c r="D257" s="25">
        <v>43.4</v>
      </c>
      <c r="E257" s="26">
        <f t="shared" si="10"/>
        <v>467.15325999999999</v>
      </c>
      <c r="F257" s="276"/>
      <c r="G257" s="276"/>
      <c r="H257" s="276"/>
      <c r="I257" s="276"/>
      <c r="J257" s="277" t="s">
        <v>8</v>
      </c>
      <c r="K257" s="278" t="s">
        <v>65</v>
      </c>
      <c r="L257" s="279" t="s">
        <v>8</v>
      </c>
      <c r="M257" s="276"/>
      <c r="N257" s="276"/>
      <c r="O257" s="276"/>
      <c r="P257" s="280"/>
      <c r="Q257" s="359"/>
      <c r="R257" s="372" t="s">
        <v>168</v>
      </c>
      <c r="S257" s="2" t="s">
        <v>8</v>
      </c>
    </row>
    <row r="258" spans="1:19" x14ac:dyDescent="0.35">
      <c r="A258" s="1072"/>
      <c r="B258" s="1020"/>
      <c r="C258" s="519">
        <v>227</v>
      </c>
      <c r="D258" s="25">
        <v>43.4</v>
      </c>
      <c r="E258" s="26">
        <f t="shared" si="10"/>
        <v>467.15325999999999</v>
      </c>
      <c r="F258" s="276"/>
      <c r="G258" s="276"/>
      <c r="H258" s="276"/>
      <c r="I258" s="276"/>
      <c r="J258" s="277" t="s">
        <v>8</v>
      </c>
      <c r="K258" s="278" t="s">
        <v>65</v>
      </c>
      <c r="L258" s="279" t="s">
        <v>8</v>
      </c>
      <c r="M258" s="276"/>
      <c r="N258" s="276"/>
      <c r="O258" s="276"/>
      <c r="P258" s="280"/>
      <c r="Q258" s="359"/>
      <c r="R258" s="372" t="s">
        <v>168</v>
      </c>
      <c r="S258" s="2" t="s">
        <v>8</v>
      </c>
    </row>
    <row r="259" spans="1:19" x14ac:dyDescent="0.35">
      <c r="A259" s="1072"/>
      <c r="B259" s="1020"/>
      <c r="C259" s="442">
        <v>228</v>
      </c>
      <c r="D259" s="25">
        <v>57.8</v>
      </c>
      <c r="E259" s="26">
        <f t="shared" si="10"/>
        <v>622.15341999999998</v>
      </c>
      <c r="F259" s="276"/>
      <c r="G259" s="276"/>
      <c r="H259" s="276"/>
      <c r="I259" s="276"/>
      <c r="J259" s="277" t="s">
        <v>8</v>
      </c>
      <c r="K259" s="278" t="s">
        <v>66</v>
      </c>
      <c r="L259" s="279" t="s">
        <v>8</v>
      </c>
      <c r="M259" s="276"/>
      <c r="N259" s="276"/>
      <c r="O259" s="276"/>
      <c r="P259" s="280"/>
      <c r="Q259" s="359"/>
      <c r="R259" s="372" t="s">
        <v>168</v>
      </c>
    </row>
    <row r="260" spans="1:19" x14ac:dyDescent="0.35">
      <c r="A260" s="1072"/>
      <c r="B260" s="1020"/>
      <c r="C260" s="442">
        <v>229</v>
      </c>
      <c r="D260" s="25">
        <v>56.2</v>
      </c>
      <c r="E260" s="26">
        <f t="shared" si="10"/>
        <v>604.93118000000004</v>
      </c>
      <c r="F260" s="276"/>
      <c r="G260" s="276"/>
      <c r="H260" s="276"/>
      <c r="I260" s="276"/>
      <c r="J260" s="277" t="s">
        <v>8</v>
      </c>
      <c r="K260" s="278" t="s">
        <v>65</v>
      </c>
      <c r="L260" s="279" t="s">
        <v>8</v>
      </c>
      <c r="M260" s="276"/>
      <c r="N260" s="276"/>
      <c r="O260" s="276"/>
      <c r="P260" s="280"/>
      <c r="Q260" s="359"/>
      <c r="R260" s="372" t="s">
        <v>168</v>
      </c>
    </row>
    <row r="261" spans="1:19" x14ac:dyDescent="0.35">
      <c r="A261" s="1072"/>
      <c r="B261" s="1020"/>
      <c r="C261" s="519">
        <v>230</v>
      </c>
      <c r="D261" s="25">
        <v>43.4</v>
      </c>
      <c r="E261" s="26">
        <f t="shared" si="10"/>
        <v>467.15325999999999</v>
      </c>
      <c r="F261" s="276"/>
      <c r="G261" s="276"/>
      <c r="H261" s="276"/>
      <c r="I261" s="276"/>
      <c r="J261" s="277" t="s">
        <v>8</v>
      </c>
      <c r="K261" s="278" t="s">
        <v>65</v>
      </c>
      <c r="L261" s="279" t="s">
        <v>8</v>
      </c>
      <c r="M261" s="276"/>
      <c r="N261" s="276"/>
      <c r="O261" s="276"/>
      <c r="P261" s="280"/>
      <c r="Q261" s="359"/>
      <c r="R261" s="372" t="s">
        <v>168</v>
      </c>
      <c r="S261" s="2" t="s">
        <v>8</v>
      </c>
    </row>
    <row r="262" spans="1:19" x14ac:dyDescent="0.35">
      <c r="A262" s="1072"/>
      <c r="B262" s="1020"/>
      <c r="C262" s="519">
        <v>231</v>
      </c>
      <c r="D262" s="25">
        <v>43.4</v>
      </c>
      <c r="E262" s="26">
        <f t="shared" si="10"/>
        <v>467.15325999999999</v>
      </c>
      <c r="F262" s="276"/>
      <c r="G262" s="276"/>
      <c r="H262" s="276"/>
      <c r="I262" s="276"/>
      <c r="J262" s="277" t="s">
        <v>8</v>
      </c>
      <c r="K262" s="278" t="s">
        <v>66</v>
      </c>
      <c r="L262" s="279" t="s">
        <v>8</v>
      </c>
      <c r="M262" s="276"/>
      <c r="N262" s="276"/>
      <c r="O262" s="276"/>
      <c r="P262" s="280"/>
      <c r="Q262" s="360"/>
      <c r="R262" s="372" t="s">
        <v>168</v>
      </c>
      <c r="S262" s="2" t="s">
        <v>8</v>
      </c>
    </row>
    <row r="263" spans="1:19" x14ac:dyDescent="0.35">
      <c r="A263" s="1072"/>
      <c r="B263" s="1020"/>
      <c r="C263" s="519">
        <v>232</v>
      </c>
      <c r="D263" s="25">
        <v>43.4</v>
      </c>
      <c r="E263" s="26">
        <f t="shared" si="10"/>
        <v>467.15325999999999</v>
      </c>
      <c r="F263" s="276"/>
      <c r="G263" s="276"/>
      <c r="H263" s="276"/>
      <c r="I263" s="276"/>
      <c r="J263" s="277" t="s">
        <v>8</v>
      </c>
      <c r="K263" s="278" t="s">
        <v>65</v>
      </c>
      <c r="L263" s="279" t="s">
        <v>8</v>
      </c>
      <c r="M263" s="276"/>
      <c r="N263" s="276"/>
      <c r="O263" s="276"/>
      <c r="P263" s="280"/>
      <c r="Q263" s="361"/>
      <c r="R263" s="372" t="s">
        <v>168</v>
      </c>
      <c r="S263" s="2" t="s">
        <v>8</v>
      </c>
    </row>
    <row r="264" spans="1:19" x14ac:dyDescent="0.35">
      <c r="A264" s="1072"/>
      <c r="B264" s="1020"/>
      <c r="C264" s="519">
        <v>233</v>
      </c>
      <c r="D264" s="25">
        <v>43.4</v>
      </c>
      <c r="E264" s="26">
        <f t="shared" si="10"/>
        <v>467.15325999999999</v>
      </c>
      <c r="F264" s="276"/>
      <c r="G264" s="276"/>
      <c r="H264" s="276"/>
      <c r="I264" s="276"/>
      <c r="J264" s="277" t="s">
        <v>8</v>
      </c>
      <c r="K264" s="278" t="s">
        <v>66</v>
      </c>
      <c r="L264" s="279" t="s">
        <v>8</v>
      </c>
      <c r="M264" s="276"/>
      <c r="N264" s="276"/>
      <c r="O264" s="276"/>
      <c r="P264" s="280"/>
      <c r="Q264" s="359"/>
      <c r="R264" s="372" t="s">
        <v>168</v>
      </c>
      <c r="S264" s="2" t="s">
        <v>8</v>
      </c>
    </row>
    <row r="265" spans="1:19" x14ac:dyDescent="0.35">
      <c r="A265" s="1072"/>
      <c r="B265" s="1020"/>
      <c r="C265" s="519">
        <v>234</v>
      </c>
      <c r="D265" s="25">
        <v>43.4</v>
      </c>
      <c r="E265" s="26">
        <f t="shared" si="10"/>
        <v>467.15325999999999</v>
      </c>
      <c r="F265" s="276"/>
      <c r="G265" s="276"/>
      <c r="H265" s="276"/>
      <c r="I265" s="276"/>
      <c r="J265" s="277" t="s">
        <v>8</v>
      </c>
      <c r="K265" s="278" t="s">
        <v>65</v>
      </c>
      <c r="L265" s="279" t="s">
        <v>8</v>
      </c>
      <c r="M265" s="276"/>
      <c r="N265" s="276"/>
      <c r="O265" s="276"/>
      <c r="P265" s="280"/>
      <c r="Q265" s="361"/>
      <c r="R265" s="372" t="s">
        <v>168</v>
      </c>
      <c r="S265" s="2" t="s">
        <v>8</v>
      </c>
    </row>
    <row r="266" spans="1:19" x14ac:dyDescent="0.35">
      <c r="A266" s="1072"/>
      <c r="B266" s="1020"/>
      <c r="C266" s="519">
        <v>235</v>
      </c>
      <c r="D266" s="25">
        <v>43.4</v>
      </c>
      <c r="E266" s="26">
        <f t="shared" si="10"/>
        <v>467.15325999999999</v>
      </c>
      <c r="F266" s="276"/>
      <c r="G266" s="276"/>
      <c r="H266" s="276"/>
      <c r="I266" s="276"/>
      <c r="J266" s="277" t="s">
        <v>8</v>
      </c>
      <c r="K266" s="278" t="s">
        <v>66</v>
      </c>
      <c r="L266" s="279" t="s">
        <v>8</v>
      </c>
      <c r="M266" s="276"/>
      <c r="N266" s="276"/>
      <c r="O266" s="276"/>
      <c r="P266" s="280"/>
      <c r="Q266" s="359"/>
      <c r="R266" s="372" t="s">
        <v>168</v>
      </c>
      <c r="S266" s="2" t="s">
        <v>8</v>
      </c>
    </row>
    <row r="267" spans="1:19" x14ac:dyDescent="0.35">
      <c r="A267" s="1072"/>
      <c r="B267" s="1020"/>
      <c r="C267" s="519">
        <v>236</v>
      </c>
      <c r="D267" s="25">
        <v>43.4</v>
      </c>
      <c r="E267" s="26">
        <f t="shared" si="10"/>
        <v>467.15325999999999</v>
      </c>
      <c r="F267" s="276"/>
      <c r="G267" s="276"/>
      <c r="H267" s="276"/>
      <c r="I267" s="276"/>
      <c r="J267" s="277" t="s">
        <v>8</v>
      </c>
      <c r="K267" s="278" t="s">
        <v>65</v>
      </c>
      <c r="L267" s="279" t="s">
        <v>8</v>
      </c>
      <c r="M267" s="276"/>
      <c r="N267" s="276"/>
      <c r="O267" s="276"/>
      <c r="P267" s="280"/>
      <c r="Q267" s="361"/>
      <c r="R267" s="372" t="s">
        <v>168</v>
      </c>
      <c r="S267" s="2" t="s">
        <v>8</v>
      </c>
    </row>
    <row r="268" spans="1:19" x14ac:dyDescent="0.35">
      <c r="A268" s="1072"/>
      <c r="B268" s="1020"/>
      <c r="C268" s="442">
        <v>237</v>
      </c>
      <c r="D268" s="25">
        <v>51.2</v>
      </c>
      <c r="E268" s="26">
        <f t="shared" si="10"/>
        <v>551.11167999999998</v>
      </c>
      <c r="F268" s="276"/>
      <c r="G268" s="276"/>
      <c r="H268" s="276"/>
      <c r="I268" s="276"/>
      <c r="J268" s="277" t="s">
        <v>8</v>
      </c>
      <c r="K268" s="278" t="s">
        <v>66</v>
      </c>
      <c r="L268" s="279" t="s">
        <v>8</v>
      </c>
      <c r="M268" s="276"/>
      <c r="N268" s="276"/>
      <c r="O268" s="276"/>
      <c r="P268" s="280"/>
      <c r="Q268" s="359"/>
      <c r="R268" s="372" t="s">
        <v>168</v>
      </c>
    </row>
    <row r="269" spans="1:19" x14ac:dyDescent="0.35">
      <c r="A269" s="1072"/>
      <c r="B269" s="1020"/>
      <c r="C269" s="519">
        <v>238</v>
      </c>
      <c r="D269" s="25">
        <v>43.4</v>
      </c>
      <c r="E269" s="26">
        <f t="shared" si="10"/>
        <v>467.15325999999999</v>
      </c>
      <c r="F269" s="276"/>
      <c r="G269" s="276"/>
      <c r="H269" s="276"/>
      <c r="I269" s="276"/>
      <c r="J269" s="277" t="s">
        <v>8</v>
      </c>
      <c r="K269" s="278" t="s">
        <v>65</v>
      </c>
      <c r="L269" s="279" t="s">
        <v>8</v>
      </c>
      <c r="M269" s="276"/>
      <c r="N269" s="276"/>
      <c r="O269" s="276"/>
      <c r="P269" s="280"/>
      <c r="Q269" s="359"/>
      <c r="R269" s="372" t="s">
        <v>168</v>
      </c>
      <c r="S269" s="2" t="s">
        <v>8</v>
      </c>
    </row>
    <row r="270" spans="1:19" x14ac:dyDescent="0.35">
      <c r="A270" s="1072"/>
      <c r="B270" s="1020"/>
      <c r="C270" s="519">
        <v>239</v>
      </c>
      <c r="D270" s="25">
        <v>43.4</v>
      </c>
      <c r="E270" s="26">
        <f t="shared" si="10"/>
        <v>467.15325999999999</v>
      </c>
      <c r="F270" s="276"/>
      <c r="G270" s="276"/>
      <c r="H270" s="276"/>
      <c r="I270" s="276"/>
      <c r="J270" s="277" t="s">
        <v>8</v>
      </c>
      <c r="K270" s="278" t="s">
        <v>65</v>
      </c>
      <c r="L270" s="279" t="s">
        <v>8</v>
      </c>
      <c r="M270" s="276"/>
      <c r="N270" s="276"/>
      <c r="O270" s="276"/>
      <c r="P270" s="280"/>
      <c r="Q270" s="359"/>
      <c r="R270" s="372" t="s">
        <v>168</v>
      </c>
      <c r="S270" s="2" t="s">
        <v>8</v>
      </c>
    </row>
    <row r="271" spans="1:19" x14ac:dyDescent="0.35">
      <c r="A271" s="1072"/>
      <c r="B271" s="1020"/>
      <c r="C271" s="442">
        <v>240</v>
      </c>
      <c r="D271" s="25">
        <v>57.8</v>
      </c>
      <c r="E271" s="26">
        <f t="shared" si="10"/>
        <v>622.15341999999998</v>
      </c>
      <c r="F271" s="276"/>
      <c r="G271" s="276"/>
      <c r="H271" s="276"/>
      <c r="I271" s="276"/>
      <c r="J271" s="277" t="s">
        <v>8</v>
      </c>
      <c r="K271" s="278" t="s">
        <v>66</v>
      </c>
      <c r="L271" s="279" t="s">
        <v>8</v>
      </c>
      <c r="M271" s="276"/>
      <c r="N271" s="276"/>
      <c r="O271" s="276"/>
      <c r="P271" s="280"/>
      <c r="Q271" s="361"/>
      <c r="R271" s="372" t="s">
        <v>168</v>
      </c>
    </row>
    <row r="272" spans="1:19" x14ac:dyDescent="0.35">
      <c r="A272" s="1072"/>
      <c r="B272" s="1020"/>
      <c r="C272" s="442">
        <v>241</v>
      </c>
      <c r="D272" s="25">
        <v>53.3</v>
      </c>
      <c r="E272" s="26">
        <f t="shared" si="10"/>
        <v>573.71587</v>
      </c>
      <c r="F272" s="276"/>
      <c r="G272" s="276"/>
      <c r="H272" s="276"/>
      <c r="I272" s="276"/>
      <c r="J272" s="277" t="s">
        <v>8</v>
      </c>
      <c r="K272" s="278" t="s">
        <v>65</v>
      </c>
      <c r="L272" s="279" t="s">
        <v>8</v>
      </c>
      <c r="M272" s="276"/>
      <c r="N272" s="276"/>
      <c r="O272" s="276"/>
      <c r="P272" s="280"/>
      <c r="Q272" s="359"/>
      <c r="R272" s="372" t="s">
        <v>168</v>
      </c>
    </row>
    <row r="273" spans="1:19" x14ac:dyDescent="0.35">
      <c r="A273" s="1072"/>
      <c r="B273" s="1020"/>
      <c r="C273" s="519">
        <v>242</v>
      </c>
      <c r="D273" s="25">
        <v>43.4</v>
      </c>
      <c r="E273" s="26">
        <f t="shared" ref="E273:E339" si="11">SUM(D273*10.7639)</f>
        <v>467.15325999999999</v>
      </c>
      <c r="F273" s="276"/>
      <c r="G273" s="276"/>
      <c r="H273" s="276"/>
      <c r="I273" s="276"/>
      <c r="J273" s="277" t="s">
        <v>8</v>
      </c>
      <c r="K273" s="278" t="s">
        <v>65</v>
      </c>
      <c r="L273" s="279" t="s">
        <v>8</v>
      </c>
      <c r="M273" s="276"/>
      <c r="N273" s="276"/>
      <c r="O273" s="276"/>
      <c r="P273" s="280"/>
      <c r="Q273" s="359"/>
      <c r="R273" s="372" t="s">
        <v>168</v>
      </c>
      <c r="S273" s="2" t="s">
        <v>8</v>
      </c>
    </row>
    <row r="274" spans="1:19" x14ac:dyDescent="0.35">
      <c r="A274" s="1072"/>
      <c r="B274" s="1020"/>
      <c r="C274" s="519">
        <v>243</v>
      </c>
      <c r="D274" s="25">
        <v>43.4</v>
      </c>
      <c r="E274" s="26">
        <f t="shared" si="11"/>
        <v>467.15325999999999</v>
      </c>
      <c r="F274" s="276"/>
      <c r="G274" s="276"/>
      <c r="H274" s="276"/>
      <c r="I274" s="276"/>
      <c r="J274" s="277" t="s">
        <v>8</v>
      </c>
      <c r="K274" s="278" t="s">
        <v>66</v>
      </c>
      <c r="L274" s="279" t="s">
        <v>8</v>
      </c>
      <c r="M274" s="276"/>
      <c r="N274" s="276"/>
      <c r="O274" s="276"/>
      <c r="P274" s="280"/>
      <c r="Q274" s="359"/>
      <c r="R274" s="372" t="s">
        <v>168</v>
      </c>
      <c r="S274" s="2" t="s">
        <v>8</v>
      </c>
    </row>
    <row r="275" spans="1:19" x14ac:dyDescent="0.35">
      <c r="A275" s="1072"/>
      <c r="B275" s="1020"/>
      <c r="C275" s="519">
        <v>244</v>
      </c>
      <c r="D275" s="25">
        <v>43.4</v>
      </c>
      <c r="E275" s="26">
        <f t="shared" si="11"/>
        <v>467.15325999999999</v>
      </c>
      <c r="F275" s="276"/>
      <c r="G275" s="276"/>
      <c r="H275" s="276"/>
      <c r="I275" s="276"/>
      <c r="J275" s="277" t="s">
        <v>8</v>
      </c>
      <c r="K275" s="278" t="s">
        <v>65</v>
      </c>
      <c r="L275" s="279" t="s">
        <v>8</v>
      </c>
      <c r="M275" s="276"/>
      <c r="N275" s="276"/>
      <c r="O275" s="276"/>
      <c r="P275" s="280"/>
      <c r="Q275" s="360"/>
      <c r="R275" s="372" t="s">
        <v>168</v>
      </c>
      <c r="S275" s="2" t="s">
        <v>8</v>
      </c>
    </row>
    <row r="276" spans="1:19" x14ac:dyDescent="0.35">
      <c r="A276" s="1072"/>
      <c r="B276" s="1020"/>
      <c r="C276" s="519">
        <v>245</v>
      </c>
      <c r="D276" s="25">
        <v>43.4</v>
      </c>
      <c r="E276" s="26">
        <f t="shared" si="11"/>
        <v>467.15325999999999</v>
      </c>
      <c r="F276" s="276"/>
      <c r="G276" s="276"/>
      <c r="H276" s="276"/>
      <c r="I276" s="276"/>
      <c r="J276" s="277" t="s">
        <v>8</v>
      </c>
      <c r="K276" s="278" t="s">
        <v>66</v>
      </c>
      <c r="L276" s="279" t="s">
        <v>8</v>
      </c>
      <c r="M276" s="276"/>
      <c r="N276" s="276"/>
      <c r="O276" s="276"/>
      <c r="P276" s="280"/>
      <c r="Q276" s="361"/>
      <c r="R276" s="372" t="s">
        <v>168</v>
      </c>
      <c r="S276" s="2" t="s">
        <v>8</v>
      </c>
    </row>
    <row r="277" spans="1:19" x14ac:dyDescent="0.35">
      <c r="A277" s="1072"/>
      <c r="B277" s="1020"/>
      <c r="C277" s="519">
        <v>246</v>
      </c>
      <c r="D277" s="25">
        <v>43.4</v>
      </c>
      <c r="E277" s="26">
        <f t="shared" si="11"/>
        <v>467.15325999999999</v>
      </c>
      <c r="F277" s="276"/>
      <c r="G277" s="276"/>
      <c r="H277" s="276"/>
      <c r="I277" s="276"/>
      <c r="J277" s="277" t="s">
        <v>8</v>
      </c>
      <c r="K277" s="278" t="s">
        <v>65</v>
      </c>
      <c r="L277" s="279" t="s">
        <v>8</v>
      </c>
      <c r="M277" s="276"/>
      <c r="N277" s="276"/>
      <c r="O277" s="276"/>
      <c r="P277" s="280"/>
      <c r="Q277" s="359"/>
      <c r="R277" s="372" t="s">
        <v>168</v>
      </c>
      <c r="S277" s="2" t="s">
        <v>8</v>
      </c>
    </row>
    <row r="278" spans="1:19" x14ac:dyDescent="0.35">
      <c r="A278" s="1072"/>
      <c r="B278" s="1020"/>
      <c r="C278" s="519">
        <v>247</v>
      </c>
      <c r="D278" s="25">
        <v>43.4</v>
      </c>
      <c r="E278" s="26">
        <f t="shared" si="11"/>
        <v>467.15325999999999</v>
      </c>
      <c r="F278" s="276"/>
      <c r="G278" s="276"/>
      <c r="H278" s="276"/>
      <c r="I278" s="276"/>
      <c r="J278" s="277" t="s">
        <v>8</v>
      </c>
      <c r="K278" s="278" t="s">
        <v>66</v>
      </c>
      <c r="L278" s="279" t="s">
        <v>8</v>
      </c>
      <c r="M278" s="276"/>
      <c r="N278" s="276"/>
      <c r="O278" s="276"/>
      <c r="P278" s="280"/>
      <c r="Q278" s="359"/>
      <c r="R278" s="372" t="s">
        <v>168</v>
      </c>
      <c r="S278" s="2" t="s">
        <v>8</v>
      </c>
    </row>
    <row r="279" spans="1:19" x14ac:dyDescent="0.35">
      <c r="A279" s="1072"/>
      <c r="B279" s="1020"/>
      <c r="C279" s="519">
        <v>248</v>
      </c>
      <c r="D279" s="25">
        <v>43.4</v>
      </c>
      <c r="E279" s="26">
        <f t="shared" si="11"/>
        <v>467.15325999999999</v>
      </c>
      <c r="F279" s="276"/>
      <c r="G279" s="276"/>
      <c r="H279" s="276"/>
      <c r="I279" s="276"/>
      <c r="J279" s="277" t="s">
        <v>8</v>
      </c>
      <c r="K279" s="278" t="s">
        <v>65</v>
      </c>
      <c r="L279" s="279" t="s">
        <v>8</v>
      </c>
      <c r="M279" s="276"/>
      <c r="N279" s="276"/>
      <c r="O279" s="276"/>
      <c r="P279" s="280"/>
      <c r="Q279" s="359"/>
      <c r="R279" s="372" t="s">
        <v>168</v>
      </c>
      <c r="S279" s="2" t="s">
        <v>8</v>
      </c>
    </row>
    <row r="280" spans="1:19" x14ac:dyDescent="0.35">
      <c r="A280" s="1072"/>
      <c r="B280" s="1020"/>
      <c r="C280" s="442">
        <v>249</v>
      </c>
      <c r="D280" s="25">
        <v>51.2</v>
      </c>
      <c r="E280" s="26">
        <f t="shared" si="11"/>
        <v>551.11167999999998</v>
      </c>
      <c r="F280" s="276"/>
      <c r="G280" s="276"/>
      <c r="H280" s="276"/>
      <c r="I280" s="276"/>
      <c r="J280" s="277" t="s">
        <v>8</v>
      </c>
      <c r="K280" s="278" t="s">
        <v>66</v>
      </c>
      <c r="L280" s="279" t="s">
        <v>8</v>
      </c>
      <c r="M280" s="276"/>
      <c r="N280" s="276"/>
      <c r="O280" s="276"/>
      <c r="P280" s="280"/>
      <c r="Q280" s="360"/>
      <c r="R280" s="372" t="s">
        <v>168</v>
      </c>
    </row>
    <row r="281" spans="1:19" x14ac:dyDescent="0.35">
      <c r="A281" s="1072"/>
      <c r="B281" s="1020"/>
      <c r="C281" s="519">
        <v>250</v>
      </c>
      <c r="D281" s="25">
        <v>43.4</v>
      </c>
      <c r="E281" s="26">
        <f t="shared" si="11"/>
        <v>467.15325999999999</v>
      </c>
      <c r="F281" s="276"/>
      <c r="G281" s="276"/>
      <c r="H281" s="276"/>
      <c r="I281" s="276"/>
      <c r="J281" s="277" t="s">
        <v>8</v>
      </c>
      <c r="K281" s="278" t="s">
        <v>65</v>
      </c>
      <c r="L281" s="279" t="s">
        <v>8</v>
      </c>
      <c r="M281" s="276"/>
      <c r="N281" s="276"/>
      <c r="O281" s="276"/>
      <c r="P281" s="280"/>
      <c r="Q281" s="361"/>
      <c r="R281" s="372" t="s">
        <v>168</v>
      </c>
      <c r="S281" s="2" t="s">
        <v>8</v>
      </c>
    </row>
    <row r="282" spans="1:19" x14ac:dyDescent="0.35">
      <c r="A282" s="1072"/>
      <c r="B282" s="1020"/>
      <c r="C282" s="519">
        <v>251</v>
      </c>
      <c r="D282" s="25">
        <v>43.4</v>
      </c>
      <c r="E282" s="26">
        <f t="shared" si="11"/>
        <v>467.15325999999999</v>
      </c>
      <c r="F282" s="276"/>
      <c r="G282" s="276"/>
      <c r="H282" s="276"/>
      <c r="I282" s="276"/>
      <c r="J282" s="277" t="s">
        <v>8</v>
      </c>
      <c r="K282" s="278" t="s">
        <v>65</v>
      </c>
      <c r="L282" s="279" t="s">
        <v>8</v>
      </c>
      <c r="M282" s="276"/>
      <c r="N282" s="276"/>
      <c r="O282" s="276"/>
      <c r="P282" s="280"/>
      <c r="Q282" s="359"/>
      <c r="R282" s="372" t="s">
        <v>168</v>
      </c>
      <c r="S282" s="2" t="s">
        <v>8</v>
      </c>
    </row>
    <row r="283" spans="1:19" x14ac:dyDescent="0.35">
      <c r="A283" s="1072"/>
      <c r="B283" s="1020"/>
      <c r="C283" s="442">
        <v>252</v>
      </c>
      <c r="D283" s="25">
        <v>57.8</v>
      </c>
      <c r="E283" s="26">
        <f>SUM(D283*10.7639)</f>
        <v>622.15341999999998</v>
      </c>
      <c r="F283" s="276"/>
      <c r="G283" s="276"/>
      <c r="H283" s="276"/>
      <c r="I283" s="276"/>
      <c r="J283" s="277" t="s">
        <v>8</v>
      </c>
      <c r="K283" s="278" t="s">
        <v>66</v>
      </c>
      <c r="L283" s="279" t="s">
        <v>8</v>
      </c>
      <c r="M283" s="276"/>
      <c r="N283" s="276"/>
      <c r="O283" s="276"/>
      <c r="P283" s="280"/>
      <c r="Q283" s="359"/>
      <c r="R283" s="372" t="s">
        <v>168</v>
      </c>
    </row>
    <row r="284" spans="1:19" x14ac:dyDescent="0.35">
      <c r="A284" s="1072"/>
      <c r="B284" s="1020"/>
      <c r="C284" s="519">
        <v>253</v>
      </c>
      <c r="D284" s="25">
        <v>43.4</v>
      </c>
      <c r="E284" s="26">
        <f t="shared" si="11"/>
        <v>467.15325999999999</v>
      </c>
      <c r="F284" s="276"/>
      <c r="G284" s="276"/>
      <c r="H284" s="276"/>
      <c r="I284" s="276"/>
      <c r="J284" s="277" t="s">
        <v>8</v>
      </c>
      <c r="K284" s="278" t="s">
        <v>65</v>
      </c>
      <c r="L284" s="279" t="s">
        <v>8</v>
      </c>
      <c r="M284" s="276"/>
      <c r="N284" s="276"/>
      <c r="O284" s="276"/>
      <c r="P284" s="280"/>
      <c r="Q284" s="360"/>
      <c r="R284" s="372" t="s">
        <v>168</v>
      </c>
      <c r="S284" s="2" t="s">
        <v>8</v>
      </c>
    </row>
    <row r="285" spans="1:19" x14ac:dyDescent="0.35">
      <c r="A285" s="1072"/>
      <c r="B285" s="1020"/>
      <c r="C285" s="519">
        <v>254</v>
      </c>
      <c r="D285" s="25">
        <v>43.4</v>
      </c>
      <c r="E285" s="26">
        <f t="shared" si="11"/>
        <v>467.15325999999999</v>
      </c>
      <c r="F285" s="276"/>
      <c r="G285" s="276"/>
      <c r="H285" s="276"/>
      <c r="I285" s="276"/>
      <c r="J285" s="277" t="s">
        <v>8</v>
      </c>
      <c r="K285" s="278" t="s">
        <v>66</v>
      </c>
      <c r="L285" s="279" t="s">
        <v>8</v>
      </c>
      <c r="M285" s="276"/>
      <c r="N285" s="276"/>
      <c r="O285" s="276"/>
      <c r="P285" s="280"/>
      <c r="Q285" s="361"/>
      <c r="R285" s="372" t="s">
        <v>168</v>
      </c>
      <c r="S285" s="2" t="s">
        <v>8</v>
      </c>
    </row>
    <row r="286" spans="1:19" x14ac:dyDescent="0.35">
      <c r="A286" s="1072"/>
      <c r="B286" s="1020"/>
      <c r="C286" s="519">
        <v>255</v>
      </c>
      <c r="D286" s="25">
        <v>43.4</v>
      </c>
      <c r="E286" s="26">
        <f t="shared" si="11"/>
        <v>467.15325999999999</v>
      </c>
      <c r="F286" s="276"/>
      <c r="G286" s="276"/>
      <c r="H286" s="276"/>
      <c r="I286" s="276"/>
      <c r="J286" s="277" t="s">
        <v>8</v>
      </c>
      <c r="K286" s="278" t="s">
        <v>65</v>
      </c>
      <c r="L286" s="279" t="s">
        <v>8</v>
      </c>
      <c r="M286" s="276"/>
      <c r="N286" s="276"/>
      <c r="O286" s="276"/>
      <c r="P286" s="280"/>
      <c r="Q286" s="359"/>
      <c r="R286" s="372" t="s">
        <v>168</v>
      </c>
      <c r="S286" s="2" t="s">
        <v>8</v>
      </c>
    </row>
    <row r="287" spans="1:19" x14ac:dyDescent="0.35">
      <c r="A287" s="1072"/>
      <c r="B287" s="1020"/>
      <c r="C287" s="519">
        <v>256</v>
      </c>
      <c r="D287" s="25">
        <v>43.4</v>
      </c>
      <c r="E287" s="26">
        <f t="shared" si="11"/>
        <v>467.15325999999999</v>
      </c>
      <c r="F287" s="276"/>
      <c r="G287" s="276"/>
      <c r="H287" s="276"/>
      <c r="I287" s="276"/>
      <c r="J287" s="277" t="s">
        <v>8</v>
      </c>
      <c r="K287" s="278" t="s">
        <v>66</v>
      </c>
      <c r="L287" s="279" t="s">
        <v>8</v>
      </c>
      <c r="M287" s="276"/>
      <c r="N287" s="276"/>
      <c r="O287" s="276"/>
      <c r="P287" s="280"/>
      <c r="Q287" s="359"/>
      <c r="R287" s="372" t="s">
        <v>168</v>
      </c>
      <c r="S287" s="2" t="s">
        <v>8</v>
      </c>
    </row>
    <row r="288" spans="1:19" x14ac:dyDescent="0.35">
      <c r="A288" s="1072"/>
      <c r="B288" s="1020"/>
      <c r="C288" s="519">
        <v>257</v>
      </c>
      <c r="D288" s="25">
        <v>43.4</v>
      </c>
      <c r="E288" s="26">
        <f t="shared" si="11"/>
        <v>467.15325999999999</v>
      </c>
      <c r="F288" s="276"/>
      <c r="G288" s="276"/>
      <c r="H288" s="276"/>
      <c r="I288" s="276"/>
      <c r="J288" s="277" t="s">
        <v>8</v>
      </c>
      <c r="K288" s="278" t="s">
        <v>65</v>
      </c>
      <c r="L288" s="279" t="s">
        <v>8</v>
      </c>
      <c r="M288" s="276"/>
      <c r="N288" s="276"/>
      <c r="O288" s="276"/>
      <c r="P288" s="280"/>
      <c r="Q288" s="359"/>
      <c r="R288" s="372" t="s">
        <v>168</v>
      </c>
      <c r="S288" s="2" t="s">
        <v>8</v>
      </c>
    </row>
    <row r="289" spans="1:19" x14ac:dyDescent="0.35">
      <c r="A289" s="1072"/>
      <c r="B289" s="1020"/>
      <c r="C289" s="519">
        <v>258</v>
      </c>
      <c r="D289" s="25">
        <v>43.4</v>
      </c>
      <c r="E289" s="26">
        <f t="shared" si="11"/>
        <v>467.15325999999999</v>
      </c>
      <c r="F289" s="276"/>
      <c r="G289" s="276"/>
      <c r="H289" s="276"/>
      <c r="I289" s="276"/>
      <c r="J289" s="277" t="s">
        <v>8</v>
      </c>
      <c r="K289" s="278" t="s">
        <v>66</v>
      </c>
      <c r="L289" s="279" t="s">
        <v>8</v>
      </c>
      <c r="M289" s="276"/>
      <c r="N289" s="276"/>
      <c r="O289" s="276"/>
      <c r="P289" s="280"/>
      <c r="Q289" s="359"/>
      <c r="R289" s="372" t="s">
        <v>168</v>
      </c>
      <c r="S289" s="2" t="s">
        <v>8</v>
      </c>
    </row>
    <row r="290" spans="1:19" x14ac:dyDescent="0.35">
      <c r="A290" s="1072"/>
      <c r="B290" s="1020"/>
      <c r="C290" s="519">
        <v>259</v>
      </c>
      <c r="D290" s="25">
        <v>43.4</v>
      </c>
      <c r="E290" s="26">
        <f t="shared" si="11"/>
        <v>467.15325999999999</v>
      </c>
      <c r="F290" s="276"/>
      <c r="G290" s="276"/>
      <c r="H290" s="276"/>
      <c r="I290" s="276"/>
      <c r="J290" s="277" t="s">
        <v>8</v>
      </c>
      <c r="K290" s="278" t="s">
        <v>65</v>
      </c>
      <c r="L290" s="279" t="s">
        <v>8</v>
      </c>
      <c r="M290" s="276"/>
      <c r="N290" s="276"/>
      <c r="O290" s="276"/>
      <c r="P290" s="280"/>
      <c r="Q290" s="360"/>
      <c r="R290" s="372" t="s">
        <v>168</v>
      </c>
      <c r="S290" s="2" t="s">
        <v>8</v>
      </c>
    </row>
    <row r="291" spans="1:19" x14ac:dyDescent="0.35">
      <c r="A291" s="1072"/>
      <c r="B291" s="1020"/>
      <c r="C291" s="442">
        <v>260</v>
      </c>
      <c r="D291" s="25">
        <v>51.2</v>
      </c>
      <c r="E291" s="26">
        <f t="shared" si="11"/>
        <v>551.11167999999998</v>
      </c>
      <c r="F291" s="276"/>
      <c r="G291" s="276"/>
      <c r="H291" s="276"/>
      <c r="I291" s="276"/>
      <c r="J291" s="277" t="s">
        <v>8</v>
      </c>
      <c r="K291" s="278" t="s">
        <v>66</v>
      </c>
      <c r="L291" s="279" t="s">
        <v>8</v>
      </c>
      <c r="M291" s="276"/>
      <c r="N291" s="276"/>
      <c r="O291" s="276"/>
      <c r="P291" s="280"/>
      <c r="Q291" s="360"/>
      <c r="R291" s="372" t="s">
        <v>168</v>
      </c>
    </row>
    <row r="292" spans="1:19" x14ac:dyDescent="0.35">
      <c r="A292" s="1072"/>
      <c r="B292" s="1020"/>
      <c r="C292" s="519">
        <v>261</v>
      </c>
      <c r="D292" s="25">
        <v>43.4</v>
      </c>
      <c r="E292" s="26">
        <f t="shared" si="11"/>
        <v>467.15325999999999</v>
      </c>
      <c r="F292" s="276"/>
      <c r="G292" s="276"/>
      <c r="H292" s="276"/>
      <c r="I292" s="276"/>
      <c r="J292" s="277" t="s">
        <v>8</v>
      </c>
      <c r="K292" s="278" t="s">
        <v>65</v>
      </c>
      <c r="L292" s="279" t="s">
        <v>8</v>
      </c>
      <c r="M292" s="276"/>
      <c r="N292" s="276"/>
      <c r="O292" s="276"/>
      <c r="P292" s="280"/>
      <c r="Q292" s="361"/>
      <c r="R292" s="372" t="s">
        <v>168</v>
      </c>
      <c r="S292" s="2" t="s">
        <v>8</v>
      </c>
    </row>
    <row r="293" spans="1:19" x14ac:dyDescent="0.35">
      <c r="A293" s="1072"/>
      <c r="B293" s="1020"/>
      <c r="C293" s="519">
        <v>262</v>
      </c>
      <c r="D293" s="25">
        <v>43.4</v>
      </c>
      <c r="E293" s="26">
        <f t="shared" si="11"/>
        <v>467.15325999999999</v>
      </c>
      <c r="F293" s="276"/>
      <c r="G293" s="276"/>
      <c r="H293" s="276"/>
      <c r="I293" s="276"/>
      <c r="J293" s="277" t="s">
        <v>8</v>
      </c>
      <c r="K293" s="278" t="s">
        <v>65</v>
      </c>
      <c r="L293" s="279" t="s">
        <v>8</v>
      </c>
      <c r="M293" s="276"/>
      <c r="N293" s="276"/>
      <c r="O293" s="276"/>
      <c r="P293" s="280"/>
      <c r="Q293" s="359"/>
      <c r="R293" s="372" t="s">
        <v>168</v>
      </c>
      <c r="S293" s="2" t="s">
        <v>8</v>
      </c>
    </row>
    <row r="294" spans="1:19" x14ac:dyDescent="0.35">
      <c r="A294" s="1072"/>
      <c r="B294" s="1020"/>
      <c r="C294" s="519">
        <v>263</v>
      </c>
      <c r="D294" s="25">
        <v>43.4</v>
      </c>
      <c r="E294" s="26">
        <f t="shared" si="11"/>
        <v>467.15325999999999</v>
      </c>
      <c r="F294" s="276"/>
      <c r="G294" s="276"/>
      <c r="H294" s="276"/>
      <c r="I294" s="276"/>
      <c r="J294" s="277" t="s">
        <v>8</v>
      </c>
      <c r="K294" s="278" t="s">
        <v>65</v>
      </c>
      <c r="L294" s="279" t="s">
        <v>8</v>
      </c>
      <c r="M294" s="276"/>
      <c r="N294" s="276"/>
      <c r="O294" s="276"/>
      <c r="P294" s="280"/>
      <c r="Q294" s="359"/>
      <c r="R294" s="372" t="s">
        <v>168</v>
      </c>
      <c r="S294" s="2" t="s">
        <v>8</v>
      </c>
    </row>
    <row r="295" spans="1:19" x14ac:dyDescent="0.35">
      <c r="A295" s="1072"/>
      <c r="B295" s="1020"/>
      <c r="C295" s="519">
        <v>264</v>
      </c>
      <c r="D295" s="25">
        <v>43.4</v>
      </c>
      <c r="E295" s="26">
        <f t="shared" si="11"/>
        <v>467.15325999999999</v>
      </c>
      <c r="F295" s="276"/>
      <c r="G295" s="276"/>
      <c r="H295" s="276"/>
      <c r="I295" s="276"/>
      <c r="J295" s="277" t="s">
        <v>8</v>
      </c>
      <c r="K295" s="278" t="s">
        <v>66</v>
      </c>
      <c r="L295" s="279" t="s">
        <v>8</v>
      </c>
      <c r="M295" s="276"/>
      <c r="N295" s="276"/>
      <c r="O295" s="276"/>
      <c r="P295" s="280"/>
      <c r="Q295" s="359"/>
      <c r="R295" s="372" t="s">
        <v>168</v>
      </c>
      <c r="S295" s="2" t="s">
        <v>8</v>
      </c>
    </row>
    <row r="296" spans="1:19" x14ac:dyDescent="0.35">
      <c r="A296" s="1072"/>
      <c r="B296" s="1020"/>
      <c r="C296" s="519">
        <v>265</v>
      </c>
      <c r="D296" s="25">
        <v>43.4</v>
      </c>
      <c r="E296" s="26">
        <f t="shared" si="11"/>
        <v>467.15325999999999</v>
      </c>
      <c r="F296" s="276"/>
      <c r="G296" s="276"/>
      <c r="H296" s="276"/>
      <c r="I296" s="276"/>
      <c r="J296" s="277" t="s">
        <v>8</v>
      </c>
      <c r="K296" s="278" t="s">
        <v>65</v>
      </c>
      <c r="L296" s="279" t="s">
        <v>8</v>
      </c>
      <c r="M296" s="276"/>
      <c r="N296" s="276"/>
      <c r="O296" s="276"/>
      <c r="P296" s="280"/>
      <c r="Q296" s="360"/>
      <c r="R296" s="372" t="s">
        <v>168</v>
      </c>
      <c r="S296" s="2" t="s">
        <v>8</v>
      </c>
    </row>
    <row r="297" spans="1:19" x14ac:dyDescent="0.35">
      <c r="A297" s="1072"/>
      <c r="B297" s="1020"/>
      <c r="C297" s="519">
        <v>266</v>
      </c>
      <c r="D297" s="25">
        <v>43.4</v>
      </c>
      <c r="E297" s="26">
        <f t="shared" si="11"/>
        <v>467.15325999999999</v>
      </c>
      <c r="F297" s="276"/>
      <c r="G297" s="276"/>
      <c r="H297" s="276"/>
      <c r="I297" s="276"/>
      <c r="J297" s="277" t="s">
        <v>8</v>
      </c>
      <c r="K297" s="278" t="s">
        <v>66</v>
      </c>
      <c r="L297" s="279" t="s">
        <v>8</v>
      </c>
      <c r="M297" s="276"/>
      <c r="N297" s="276"/>
      <c r="O297" s="276"/>
      <c r="P297" s="280"/>
      <c r="Q297" s="360"/>
      <c r="R297" s="372" t="s">
        <v>168</v>
      </c>
      <c r="S297" s="2" t="s">
        <v>8</v>
      </c>
    </row>
    <row r="298" spans="1:19" x14ac:dyDescent="0.35">
      <c r="A298" s="1072"/>
      <c r="B298" s="1020"/>
      <c r="C298" s="519">
        <v>267</v>
      </c>
      <c r="D298" s="25">
        <v>43.4</v>
      </c>
      <c r="E298" s="26">
        <f t="shared" si="11"/>
        <v>467.15325999999999</v>
      </c>
      <c r="F298" s="276"/>
      <c r="G298" s="276"/>
      <c r="H298" s="276"/>
      <c r="I298" s="276"/>
      <c r="J298" s="277" t="s">
        <v>8</v>
      </c>
      <c r="K298" s="278" t="s">
        <v>65</v>
      </c>
      <c r="L298" s="279" t="s">
        <v>8</v>
      </c>
      <c r="M298" s="276"/>
      <c r="N298" s="276"/>
      <c r="O298" s="276"/>
      <c r="P298" s="280"/>
      <c r="Q298" s="359"/>
      <c r="R298" s="372" t="s">
        <v>168</v>
      </c>
      <c r="S298" s="2" t="s">
        <v>8</v>
      </c>
    </row>
    <row r="299" spans="1:19" x14ac:dyDescent="0.35">
      <c r="A299" s="1072"/>
      <c r="B299" s="1020"/>
      <c r="C299" s="519">
        <v>268</v>
      </c>
      <c r="D299" s="25">
        <v>43.4</v>
      </c>
      <c r="E299" s="26">
        <f t="shared" si="11"/>
        <v>467.15325999999999</v>
      </c>
      <c r="F299" s="276"/>
      <c r="G299" s="276"/>
      <c r="H299" s="276"/>
      <c r="I299" s="276"/>
      <c r="J299" s="277" t="s">
        <v>8</v>
      </c>
      <c r="K299" s="278" t="s">
        <v>66</v>
      </c>
      <c r="L299" s="279" t="s">
        <v>8</v>
      </c>
      <c r="M299" s="276"/>
      <c r="N299" s="276"/>
      <c r="O299" s="276"/>
      <c r="P299" s="280"/>
      <c r="Q299" s="359"/>
      <c r="R299" s="372" t="s">
        <v>168</v>
      </c>
      <c r="S299" s="2" t="s">
        <v>8</v>
      </c>
    </row>
    <row r="300" spans="1:19" x14ac:dyDescent="0.35">
      <c r="A300" s="1072"/>
      <c r="B300" s="1020"/>
      <c r="C300" s="519">
        <v>269</v>
      </c>
      <c r="D300" s="25">
        <v>43.4</v>
      </c>
      <c r="E300" s="26">
        <f t="shared" si="11"/>
        <v>467.15325999999999</v>
      </c>
      <c r="F300" s="276"/>
      <c r="G300" s="276"/>
      <c r="H300" s="276"/>
      <c r="I300" s="276"/>
      <c r="J300" s="277" t="s">
        <v>8</v>
      </c>
      <c r="K300" s="278" t="s">
        <v>65</v>
      </c>
      <c r="L300" s="279" t="s">
        <v>8</v>
      </c>
      <c r="M300" s="276"/>
      <c r="N300" s="276"/>
      <c r="O300" s="276"/>
      <c r="P300" s="280"/>
      <c r="Q300" s="362"/>
      <c r="R300" s="372" t="s">
        <v>168</v>
      </c>
      <c r="S300" s="2" t="s">
        <v>8</v>
      </c>
    </row>
    <row r="301" spans="1:19" x14ac:dyDescent="0.35">
      <c r="A301" s="1072"/>
      <c r="B301" s="1020"/>
      <c r="C301" s="442">
        <v>270</v>
      </c>
      <c r="D301" s="25">
        <v>51.2</v>
      </c>
      <c r="E301" s="26">
        <f t="shared" si="11"/>
        <v>551.11167999999998</v>
      </c>
      <c r="F301" s="276"/>
      <c r="G301" s="276"/>
      <c r="H301" s="276"/>
      <c r="I301" s="276"/>
      <c r="J301" s="277" t="s">
        <v>8</v>
      </c>
      <c r="K301" s="278" t="s">
        <v>66</v>
      </c>
      <c r="L301" s="279" t="s">
        <v>8</v>
      </c>
      <c r="M301" s="276"/>
      <c r="N301" s="276"/>
      <c r="O301" s="276"/>
      <c r="P301" s="280"/>
      <c r="Q301" s="361"/>
      <c r="R301" s="372" t="s">
        <v>168</v>
      </c>
    </row>
    <row r="302" spans="1:19" x14ac:dyDescent="0.35">
      <c r="A302" s="1072"/>
      <c r="B302" s="1020"/>
      <c r="C302" s="519">
        <v>271</v>
      </c>
      <c r="D302" s="25">
        <v>43.4</v>
      </c>
      <c r="E302" s="26">
        <f t="shared" si="11"/>
        <v>467.15325999999999</v>
      </c>
      <c r="F302" s="276"/>
      <c r="G302" s="276"/>
      <c r="H302" s="276"/>
      <c r="I302" s="276"/>
      <c r="J302" s="277" t="s">
        <v>8</v>
      </c>
      <c r="K302" s="278" t="s">
        <v>65</v>
      </c>
      <c r="L302" s="279" t="s">
        <v>8</v>
      </c>
      <c r="M302" s="276"/>
      <c r="N302" s="276"/>
      <c r="O302" s="276"/>
      <c r="P302" s="280"/>
      <c r="Q302" s="359"/>
      <c r="R302" s="372" t="s">
        <v>168</v>
      </c>
      <c r="S302" s="2" t="s">
        <v>8</v>
      </c>
    </row>
    <row r="303" spans="1:19" x14ac:dyDescent="0.35">
      <c r="A303" s="1072"/>
      <c r="B303" s="1020"/>
      <c r="C303" s="519">
        <v>272</v>
      </c>
      <c r="D303" s="25">
        <v>43.4</v>
      </c>
      <c r="E303" s="26">
        <f t="shared" si="11"/>
        <v>467.15325999999999</v>
      </c>
      <c r="F303" s="276"/>
      <c r="G303" s="276"/>
      <c r="H303" s="276"/>
      <c r="I303" s="276"/>
      <c r="J303" s="277" t="s">
        <v>8</v>
      </c>
      <c r="K303" s="278" t="s">
        <v>65</v>
      </c>
      <c r="L303" s="279" t="s">
        <v>8</v>
      </c>
      <c r="M303" s="276"/>
      <c r="N303" s="276"/>
      <c r="O303" s="276"/>
      <c r="P303" s="280"/>
      <c r="Q303" s="359"/>
      <c r="R303" s="372" t="s">
        <v>168</v>
      </c>
      <c r="S303" s="2" t="s">
        <v>8</v>
      </c>
    </row>
    <row r="304" spans="1:19" x14ac:dyDescent="0.35">
      <c r="A304" s="1072"/>
      <c r="B304" s="1020"/>
      <c r="C304" s="442">
        <v>273</v>
      </c>
      <c r="D304" s="25">
        <v>50.8</v>
      </c>
      <c r="E304" s="26">
        <f t="shared" si="11"/>
        <v>546.80611999999996</v>
      </c>
      <c r="F304" s="276"/>
      <c r="G304" s="276"/>
      <c r="H304" s="276" t="s">
        <v>8</v>
      </c>
      <c r="I304" s="276"/>
      <c r="J304" s="277"/>
      <c r="K304" s="278" t="s">
        <v>64</v>
      </c>
      <c r="L304" s="279" t="s">
        <v>8</v>
      </c>
      <c r="M304" s="276"/>
      <c r="N304" s="276"/>
      <c r="O304" s="276"/>
      <c r="P304" s="280"/>
      <c r="Q304" s="359"/>
      <c r="R304" s="372" t="s">
        <v>168</v>
      </c>
    </row>
    <row r="305" spans="1:19" x14ac:dyDescent="0.35">
      <c r="A305" s="1072"/>
      <c r="B305" s="1020"/>
      <c r="C305" s="519">
        <v>274</v>
      </c>
      <c r="D305" s="25">
        <v>39.200000000000003</v>
      </c>
      <c r="E305" s="26">
        <f t="shared" si="11"/>
        <v>421.94488000000001</v>
      </c>
      <c r="F305" s="276"/>
      <c r="G305" s="276"/>
      <c r="H305" s="521" t="s">
        <v>8</v>
      </c>
      <c r="I305" s="276"/>
      <c r="J305" s="277"/>
      <c r="K305" s="278" t="s">
        <v>65</v>
      </c>
      <c r="L305" s="279" t="s">
        <v>8</v>
      </c>
      <c r="M305" s="276"/>
      <c r="N305" s="276"/>
      <c r="O305" s="276"/>
      <c r="P305" s="280"/>
      <c r="Q305" s="359"/>
      <c r="R305" s="372" t="s">
        <v>168</v>
      </c>
      <c r="S305" s="2" t="s">
        <v>8</v>
      </c>
    </row>
    <row r="306" spans="1:19" x14ac:dyDescent="0.35">
      <c r="A306" s="1072"/>
      <c r="B306" s="1020"/>
      <c r="C306" s="442">
        <v>275</v>
      </c>
      <c r="D306" s="25">
        <v>57.8</v>
      </c>
      <c r="E306" s="26">
        <f t="shared" si="11"/>
        <v>622.15341999999998</v>
      </c>
      <c r="F306" s="276"/>
      <c r="G306" s="276"/>
      <c r="H306" s="276"/>
      <c r="I306" s="276" t="s">
        <v>8</v>
      </c>
      <c r="J306" s="277"/>
      <c r="K306" s="278" t="s">
        <v>66</v>
      </c>
      <c r="L306" s="279" t="s">
        <v>8</v>
      </c>
      <c r="M306" s="276"/>
      <c r="N306" s="276"/>
      <c r="O306" s="276"/>
      <c r="P306" s="280"/>
      <c r="Q306" s="359"/>
      <c r="R306" s="371" t="s">
        <v>170</v>
      </c>
    </row>
    <row r="307" spans="1:19" x14ac:dyDescent="0.35">
      <c r="A307" s="1072"/>
      <c r="B307" s="1020"/>
      <c r="C307" s="442">
        <v>276</v>
      </c>
      <c r="D307" s="25">
        <v>57.8</v>
      </c>
      <c r="E307" s="26">
        <f t="shared" si="11"/>
        <v>622.15341999999998</v>
      </c>
      <c r="F307" s="276"/>
      <c r="G307" s="276"/>
      <c r="H307" s="276"/>
      <c r="I307" s="276" t="s">
        <v>8</v>
      </c>
      <c r="J307" s="277"/>
      <c r="K307" s="278" t="s">
        <v>66</v>
      </c>
      <c r="L307" s="279" t="s">
        <v>8</v>
      </c>
      <c r="M307" s="276"/>
      <c r="N307" s="276"/>
      <c r="O307" s="276"/>
      <c r="P307" s="280"/>
      <c r="Q307" s="360"/>
      <c r="R307" s="371" t="s">
        <v>170</v>
      </c>
    </row>
    <row r="308" spans="1:19" x14ac:dyDescent="0.35">
      <c r="A308" s="1072"/>
      <c r="B308" s="1020"/>
      <c r="C308" s="442">
        <v>277</v>
      </c>
      <c r="D308" s="25">
        <v>50.1</v>
      </c>
      <c r="E308" s="26">
        <f t="shared" si="11"/>
        <v>539.27139</v>
      </c>
      <c r="F308" s="276"/>
      <c r="G308" s="276"/>
      <c r="H308" s="276"/>
      <c r="I308" s="276"/>
      <c r="J308" s="277" t="s">
        <v>8</v>
      </c>
      <c r="K308" s="278" t="s">
        <v>65</v>
      </c>
      <c r="L308" s="279" t="s">
        <v>8</v>
      </c>
      <c r="M308" s="276"/>
      <c r="N308" s="276"/>
      <c r="O308" s="276"/>
      <c r="P308" s="280"/>
      <c r="Q308" s="361"/>
      <c r="R308" s="371" t="s">
        <v>170</v>
      </c>
    </row>
    <row r="309" spans="1:19" x14ac:dyDescent="0.35">
      <c r="A309" s="1072"/>
      <c r="B309" s="1020"/>
      <c r="C309" s="442">
        <v>278</v>
      </c>
      <c r="D309" s="25">
        <v>100.1</v>
      </c>
      <c r="E309" s="26">
        <f t="shared" si="11"/>
        <v>1077.4663899999998</v>
      </c>
      <c r="F309" s="276"/>
      <c r="G309" s="276"/>
      <c r="H309" s="276"/>
      <c r="I309" s="276" t="s">
        <v>8</v>
      </c>
      <c r="J309" s="277"/>
      <c r="K309" s="278" t="s">
        <v>65</v>
      </c>
      <c r="L309" s="279"/>
      <c r="M309" s="276" t="s">
        <v>8</v>
      </c>
      <c r="N309" s="276"/>
      <c r="O309" s="276"/>
      <c r="P309" s="280"/>
      <c r="Q309" s="359"/>
      <c r="R309" s="371" t="s">
        <v>170</v>
      </c>
    </row>
    <row r="310" spans="1:19" x14ac:dyDescent="0.35">
      <c r="A310" s="1072"/>
      <c r="B310" s="1020"/>
      <c r="C310" s="442">
        <v>279</v>
      </c>
      <c r="D310" s="25">
        <v>57.8</v>
      </c>
      <c r="E310" s="26">
        <f t="shared" si="11"/>
        <v>622.15341999999998</v>
      </c>
      <c r="F310" s="276"/>
      <c r="G310" s="276"/>
      <c r="H310" s="276"/>
      <c r="I310" s="276" t="s">
        <v>8</v>
      </c>
      <c r="J310" s="277"/>
      <c r="K310" s="278" t="s">
        <v>63</v>
      </c>
      <c r="L310" s="279" t="s">
        <v>8</v>
      </c>
      <c r="M310" s="276"/>
      <c r="N310" s="276"/>
      <c r="O310" s="276"/>
      <c r="P310" s="280"/>
      <c r="Q310" s="359" t="s">
        <v>8</v>
      </c>
      <c r="R310" s="371" t="s">
        <v>170</v>
      </c>
    </row>
    <row r="311" spans="1:19" x14ac:dyDescent="0.35">
      <c r="A311" s="1072"/>
      <c r="B311" s="1020"/>
      <c r="C311" s="442">
        <v>280</v>
      </c>
      <c r="D311" s="25">
        <v>57.8</v>
      </c>
      <c r="E311" s="26">
        <f t="shared" si="11"/>
        <v>622.15341999999998</v>
      </c>
      <c r="F311" s="276"/>
      <c r="G311" s="276"/>
      <c r="H311" s="276"/>
      <c r="I311" s="276" t="s">
        <v>8</v>
      </c>
      <c r="J311" s="277"/>
      <c r="K311" s="278" t="s">
        <v>63</v>
      </c>
      <c r="L311" s="279" t="s">
        <v>8</v>
      </c>
      <c r="M311" s="276"/>
      <c r="N311" s="276"/>
      <c r="O311" s="276"/>
      <c r="P311" s="280"/>
      <c r="Q311" s="359" t="s">
        <v>8</v>
      </c>
      <c r="R311" s="371" t="s">
        <v>170</v>
      </c>
    </row>
    <row r="312" spans="1:19" x14ac:dyDescent="0.35">
      <c r="A312" s="1072"/>
      <c r="B312" s="1020"/>
      <c r="C312" s="442">
        <v>281</v>
      </c>
      <c r="D312" s="25">
        <v>69.599999999999994</v>
      </c>
      <c r="E312" s="26">
        <f t="shared" si="11"/>
        <v>749.16743999999994</v>
      </c>
      <c r="F312" s="276"/>
      <c r="G312" s="276"/>
      <c r="H312" s="276"/>
      <c r="I312" s="276" t="s">
        <v>8</v>
      </c>
      <c r="J312" s="277"/>
      <c r="K312" s="278" t="s">
        <v>66</v>
      </c>
      <c r="L312" s="279"/>
      <c r="M312" s="276" t="s">
        <v>8</v>
      </c>
      <c r="N312" s="276"/>
      <c r="O312" s="276"/>
      <c r="P312" s="280"/>
      <c r="Q312" s="359"/>
      <c r="R312" s="371" t="s">
        <v>170</v>
      </c>
    </row>
    <row r="313" spans="1:19" x14ac:dyDescent="0.35">
      <c r="A313" s="1072"/>
      <c r="B313" s="1020"/>
      <c r="C313" s="442">
        <v>282</v>
      </c>
      <c r="D313" s="25">
        <v>69.599999999999994</v>
      </c>
      <c r="E313" s="26">
        <f t="shared" si="11"/>
        <v>749.16743999999994</v>
      </c>
      <c r="F313" s="276"/>
      <c r="G313" s="276"/>
      <c r="H313" s="276"/>
      <c r="I313" s="276" t="s">
        <v>8</v>
      </c>
      <c r="J313" s="277"/>
      <c r="K313" s="278" t="s">
        <v>66</v>
      </c>
      <c r="L313" s="279"/>
      <c r="M313" s="276" t="s">
        <v>8</v>
      </c>
      <c r="N313" s="276"/>
      <c r="O313" s="276"/>
      <c r="P313" s="280"/>
      <c r="Q313" s="360"/>
      <c r="R313" s="371" t="s">
        <v>170</v>
      </c>
    </row>
    <row r="314" spans="1:19" x14ac:dyDescent="0.35">
      <c r="A314" s="1072"/>
      <c r="B314" s="1020"/>
      <c r="C314" s="442">
        <v>283</v>
      </c>
      <c r="D314" s="25">
        <v>69.599999999999994</v>
      </c>
      <c r="E314" s="26">
        <f t="shared" si="11"/>
        <v>749.16743999999994</v>
      </c>
      <c r="F314" s="276"/>
      <c r="G314" s="276"/>
      <c r="H314" s="276"/>
      <c r="I314" s="276" t="s">
        <v>8</v>
      </c>
      <c r="J314" s="277"/>
      <c r="K314" s="278" t="s">
        <v>66</v>
      </c>
      <c r="L314" s="279"/>
      <c r="M314" s="276" t="s">
        <v>8</v>
      </c>
      <c r="N314" s="276"/>
      <c r="O314" s="276"/>
      <c r="P314" s="280"/>
      <c r="Q314" s="361"/>
      <c r="R314" s="371" t="s">
        <v>170</v>
      </c>
    </row>
    <row r="315" spans="1:19" x14ac:dyDescent="0.35">
      <c r="A315" s="1072"/>
      <c r="B315" s="1020"/>
      <c r="C315" s="442">
        <v>284</v>
      </c>
      <c r="D315" s="25">
        <v>69.599999999999994</v>
      </c>
      <c r="E315" s="26">
        <f t="shared" si="11"/>
        <v>749.16743999999994</v>
      </c>
      <c r="F315" s="276"/>
      <c r="G315" s="276"/>
      <c r="H315" s="276"/>
      <c r="I315" s="276" t="s">
        <v>8</v>
      </c>
      <c r="J315" s="277"/>
      <c r="K315" s="278" t="s">
        <v>66</v>
      </c>
      <c r="L315" s="279"/>
      <c r="M315" s="276" t="s">
        <v>8</v>
      </c>
      <c r="N315" s="276"/>
      <c r="O315" s="276"/>
      <c r="P315" s="280"/>
      <c r="Q315" s="359"/>
      <c r="R315" s="371" t="s">
        <v>170</v>
      </c>
    </row>
    <row r="316" spans="1:19" x14ac:dyDescent="0.35">
      <c r="A316" s="1072"/>
      <c r="B316" s="1020"/>
      <c r="C316" s="442">
        <v>285</v>
      </c>
      <c r="D316" s="25">
        <v>87.3</v>
      </c>
      <c r="E316" s="26">
        <f t="shared" si="11"/>
        <v>939.68846999999994</v>
      </c>
      <c r="F316" s="276"/>
      <c r="G316" s="276"/>
      <c r="H316" s="276"/>
      <c r="I316" s="276" t="s">
        <v>8</v>
      </c>
      <c r="J316" s="277"/>
      <c r="K316" s="278" t="s">
        <v>66</v>
      </c>
      <c r="L316" s="279"/>
      <c r="M316" s="276"/>
      <c r="N316" s="276" t="s">
        <v>8</v>
      </c>
      <c r="O316" s="276"/>
      <c r="P316" s="280"/>
      <c r="Q316" s="359"/>
      <c r="R316" s="371" t="s">
        <v>170</v>
      </c>
    </row>
    <row r="317" spans="1:19" x14ac:dyDescent="0.35">
      <c r="A317" s="1072"/>
      <c r="B317" s="1020"/>
      <c r="C317" s="442">
        <v>286</v>
      </c>
      <c r="D317" s="25">
        <v>87.3</v>
      </c>
      <c r="E317" s="26">
        <f t="shared" si="11"/>
        <v>939.68846999999994</v>
      </c>
      <c r="F317" s="276"/>
      <c r="G317" s="276"/>
      <c r="H317" s="276"/>
      <c r="I317" s="276" t="s">
        <v>8</v>
      </c>
      <c r="J317" s="277"/>
      <c r="K317" s="278" t="s">
        <v>66</v>
      </c>
      <c r="L317" s="279"/>
      <c r="M317" s="276"/>
      <c r="N317" s="276" t="s">
        <v>8</v>
      </c>
      <c r="O317" s="276"/>
      <c r="P317" s="280"/>
      <c r="Q317" s="359"/>
      <c r="R317" s="371" t="s">
        <v>170</v>
      </c>
    </row>
    <row r="318" spans="1:19" x14ac:dyDescent="0.35">
      <c r="A318" s="1072"/>
      <c r="B318" s="1020"/>
      <c r="C318" s="442">
        <v>287</v>
      </c>
      <c r="D318" s="25">
        <v>69.599999999999994</v>
      </c>
      <c r="E318" s="26">
        <f t="shared" si="11"/>
        <v>749.16743999999994</v>
      </c>
      <c r="F318" s="276"/>
      <c r="G318" s="276"/>
      <c r="H318" s="276"/>
      <c r="I318" s="276" t="s">
        <v>8</v>
      </c>
      <c r="J318" s="277"/>
      <c r="K318" s="278" t="s">
        <v>66</v>
      </c>
      <c r="L318" s="279"/>
      <c r="M318" s="276" t="s">
        <v>8</v>
      </c>
      <c r="N318" s="276"/>
      <c r="O318" s="276"/>
      <c r="P318" s="280"/>
      <c r="Q318" s="361"/>
      <c r="R318" s="371" t="s">
        <v>170</v>
      </c>
    </row>
    <row r="319" spans="1:19" x14ac:dyDescent="0.35">
      <c r="A319" s="1072"/>
      <c r="B319" s="1020"/>
      <c r="C319" s="442">
        <v>288</v>
      </c>
      <c r="D319" s="25">
        <v>69.599999999999994</v>
      </c>
      <c r="E319" s="26">
        <f t="shared" si="11"/>
        <v>749.16743999999994</v>
      </c>
      <c r="F319" s="276"/>
      <c r="G319" s="276"/>
      <c r="H319" s="276"/>
      <c r="I319" s="276" t="s">
        <v>8</v>
      </c>
      <c r="J319" s="277"/>
      <c r="K319" s="278" t="s">
        <v>66</v>
      </c>
      <c r="L319" s="279"/>
      <c r="M319" s="276" t="s">
        <v>8</v>
      </c>
      <c r="N319" s="276"/>
      <c r="O319" s="276"/>
      <c r="P319" s="280"/>
      <c r="Q319" s="359"/>
      <c r="R319" s="371" t="s">
        <v>170</v>
      </c>
    </row>
    <row r="320" spans="1:19" x14ac:dyDescent="0.35">
      <c r="A320" s="1072"/>
      <c r="B320" s="1020"/>
      <c r="C320" s="442">
        <v>289</v>
      </c>
      <c r="D320" s="25">
        <v>59.4</v>
      </c>
      <c r="E320" s="26">
        <f t="shared" si="11"/>
        <v>639.37565999999993</v>
      </c>
      <c r="F320" s="276"/>
      <c r="G320" s="276"/>
      <c r="H320" s="276"/>
      <c r="I320" s="276"/>
      <c r="J320" s="277" t="s">
        <v>8</v>
      </c>
      <c r="K320" s="278" t="s">
        <v>65</v>
      </c>
      <c r="L320" s="279" t="s">
        <v>8</v>
      </c>
      <c r="M320" s="276"/>
      <c r="N320" s="276"/>
      <c r="O320" s="276"/>
      <c r="P320" s="280"/>
      <c r="Q320" s="359"/>
      <c r="R320" s="372" t="s">
        <v>168</v>
      </c>
    </row>
    <row r="321" spans="1:18" x14ac:dyDescent="0.35">
      <c r="A321" s="1072"/>
      <c r="B321" s="1020"/>
      <c r="C321" s="442">
        <v>290</v>
      </c>
      <c r="D321" s="25">
        <v>66.5</v>
      </c>
      <c r="E321" s="26">
        <f t="shared" si="11"/>
        <v>715.79935</v>
      </c>
      <c r="F321" s="276"/>
      <c r="G321" s="276"/>
      <c r="H321" s="276"/>
      <c r="I321" s="276" t="s">
        <v>8</v>
      </c>
      <c r="J321" s="277"/>
      <c r="K321" s="278" t="s">
        <v>66</v>
      </c>
      <c r="L321" s="279"/>
      <c r="M321" s="276" t="s">
        <v>8</v>
      </c>
      <c r="N321" s="276"/>
      <c r="O321" s="276"/>
      <c r="P321" s="280"/>
      <c r="Q321" s="359"/>
      <c r="R321" s="371" t="s">
        <v>170</v>
      </c>
    </row>
    <row r="322" spans="1:18" x14ac:dyDescent="0.35">
      <c r="A322" s="1072"/>
      <c r="B322" s="1020"/>
      <c r="C322" s="442">
        <v>291</v>
      </c>
      <c r="D322" s="25">
        <v>69.599999999999994</v>
      </c>
      <c r="E322" s="26">
        <f t="shared" si="11"/>
        <v>749.16743999999994</v>
      </c>
      <c r="F322" s="276"/>
      <c r="G322" s="276"/>
      <c r="H322" s="276"/>
      <c r="I322" s="276" t="s">
        <v>8</v>
      </c>
      <c r="J322" s="277"/>
      <c r="K322" s="278" t="s">
        <v>66</v>
      </c>
      <c r="L322" s="279"/>
      <c r="M322" s="276" t="s">
        <v>8</v>
      </c>
      <c r="N322" s="276"/>
      <c r="O322" s="276"/>
      <c r="P322" s="280"/>
      <c r="Q322" s="359"/>
      <c r="R322" s="371" t="s">
        <v>170</v>
      </c>
    </row>
    <row r="323" spans="1:18" x14ac:dyDescent="0.35">
      <c r="A323" s="1072"/>
      <c r="B323" s="1020"/>
      <c r="C323" s="442">
        <v>292</v>
      </c>
      <c r="D323" s="25">
        <v>59.4</v>
      </c>
      <c r="E323" s="26">
        <f t="shared" si="11"/>
        <v>639.37565999999993</v>
      </c>
      <c r="F323" s="276"/>
      <c r="G323" s="276"/>
      <c r="H323" s="276"/>
      <c r="I323" s="276"/>
      <c r="J323" s="277" t="s">
        <v>8</v>
      </c>
      <c r="K323" s="278" t="s">
        <v>65</v>
      </c>
      <c r="L323" s="279" t="s">
        <v>8</v>
      </c>
      <c r="M323" s="276"/>
      <c r="N323" s="276"/>
      <c r="O323" s="276"/>
      <c r="P323" s="280"/>
      <c r="Q323" s="359"/>
      <c r="R323" s="372" t="s">
        <v>168</v>
      </c>
    </row>
    <row r="324" spans="1:18" x14ac:dyDescent="0.35">
      <c r="A324" s="1072"/>
      <c r="B324" s="1020"/>
      <c r="C324" s="442">
        <v>293</v>
      </c>
      <c r="D324" s="25">
        <v>59.4</v>
      </c>
      <c r="E324" s="26">
        <f t="shared" si="11"/>
        <v>639.37565999999993</v>
      </c>
      <c r="F324" s="276"/>
      <c r="G324" s="276"/>
      <c r="H324" s="276"/>
      <c r="I324" s="276"/>
      <c r="J324" s="277" t="s">
        <v>8</v>
      </c>
      <c r="K324" s="278" t="s">
        <v>65</v>
      </c>
      <c r="L324" s="279" t="s">
        <v>8</v>
      </c>
      <c r="M324" s="276"/>
      <c r="N324" s="276"/>
      <c r="O324" s="276"/>
      <c r="P324" s="280"/>
      <c r="Q324" s="360"/>
      <c r="R324" s="372" t="s">
        <v>168</v>
      </c>
    </row>
    <row r="325" spans="1:18" x14ac:dyDescent="0.35">
      <c r="A325" s="1072"/>
      <c r="B325" s="1020"/>
      <c r="C325" s="442">
        <v>294</v>
      </c>
      <c r="D325" s="25">
        <v>66.5</v>
      </c>
      <c r="E325" s="26">
        <f t="shared" si="11"/>
        <v>715.79935</v>
      </c>
      <c r="F325" s="276"/>
      <c r="G325" s="276"/>
      <c r="H325" s="276"/>
      <c r="I325" s="276" t="s">
        <v>8</v>
      </c>
      <c r="J325" s="277"/>
      <c r="K325" s="278" t="s">
        <v>66</v>
      </c>
      <c r="L325" s="279"/>
      <c r="M325" s="276" t="s">
        <v>8</v>
      </c>
      <c r="N325" s="276"/>
      <c r="O325" s="276"/>
      <c r="P325" s="280"/>
      <c r="Q325" s="361"/>
      <c r="R325" s="371" t="s">
        <v>170</v>
      </c>
    </row>
    <row r="326" spans="1:18" x14ac:dyDescent="0.35">
      <c r="A326" s="1072"/>
      <c r="B326" s="1020"/>
      <c r="C326" s="442">
        <v>295</v>
      </c>
      <c r="D326" s="25">
        <v>69.599999999999994</v>
      </c>
      <c r="E326" s="26">
        <f t="shared" si="11"/>
        <v>749.16743999999994</v>
      </c>
      <c r="F326" s="276"/>
      <c r="G326" s="276"/>
      <c r="H326" s="276"/>
      <c r="I326" s="276" t="s">
        <v>8</v>
      </c>
      <c r="J326" s="277"/>
      <c r="K326" s="278" t="s">
        <v>66</v>
      </c>
      <c r="L326" s="279"/>
      <c r="M326" s="276" t="s">
        <v>8</v>
      </c>
      <c r="N326" s="276"/>
      <c r="O326" s="276"/>
      <c r="P326" s="280"/>
      <c r="Q326" s="359"/>
      <c r="R326" s="371" t="s">
        <v>170</v>
      </c>
    </row>
    <row r="327" spans="1:18" x14ac:dyDescent="0.35">
      <c r="A327" s="1072"/>
      <c r="B327" s="1020"/>
      <c r="C327" s="442">
        <v>296</v>
      </c>
      <c r="D327" s="25">
        <v>59.4</v>
      </c>
      <c r="E327" s="26">
        <f t="shared" si="11"/>
        <v>639.37565999999993</v>
      </c>
      <c r="F327" s="276"/>
      <c r="G327" s="276"/>
      <c r="H327" s="276"/>
      <c r="I327" s="276"/>
      <c r="J327" s="277" t="s">
        <v>8</v>
      </c>
      <c r="K327" s="278" t="s">
        <v>65</v>
      </c>
      <c r="L327" s="279" t="s">
        <v>8</v>
      </c>
      <c r="M327" s="276"/>
      <c r="N327" s="276"/>
      <c r="O327" s="276"/>
      <c r="P327" s="280"/>
      <c r="Q327" s="361"/>
      <c r="R327" s="372" t="s">
        <v>168</v>
      </c>
    </row>
    <row r="328" spans="1:18" x14ac:dyDescent="0.35">
      <c r="A328" s="1072"/>
      <c r="B328" s="1021"/>
      <c r="C328" s="442">
        <v>297</v>
      </c>
      <c r="D328" s="25">
        <v>59.4</v>
      </c>
      <c r="E328" s="26">
        <f t="shared" si="11"/>
        <v>639.37565999999993</v>
      </c>
      <c r="F328" s="276"/>
      <c r="G328" s="276"/>
      <c r="H328" s="276" t="s">
        <v>8</v>
      </c>
      <c r="I328" s="276"/>
      <c r="J328" s="277"/>
      <c r="K328" s="278" t="s">
        <v>65</v>
      </c>
      <c r="L328" s="279" t="s">
        <v>8</v>
      </c>
      <c r="M328" s="276"/>
      <c r="N328" s="276"/>
      <c r="O328" s="276"/>
      <c r="P328" s="280"/>
      <c r="Q328" s="359"/>
      <c r="R328" s="372" t="s">
        <v>168</v>
      </c>
    </row>
    <row r="329" spans="1:18" x14ac:dyDescent="0.35">
      <c r="A329" s="1072"/>
      <c r="B329" s="1019" t="s">
        <v>127</v>
      </c>
      <c r="C329" s="442">
        <v>298</v>
      </c>
      <c r="D329" s="25">
        <v>40.1</v>
      </c>
      <c r="E329" s="26">
        <f t="shared" si="11"/>
        <v>431.63238999999999</v>
      </c>
      <c r="F329" s="276"/>
      <c r="G329" s="276"/>
      <c r="H329" s="276" t="s">
        <v>8</v>
      </c>
      <c r="I329" s="276"/>
      <c r="J329" s="277"/>
      <c r="K329" s="278" t="s">
        <v>163</v>
      </c>
      <c r="L329" s="279" t="s">
        <v>8</v>
      </c>
      <c r="M329" s="276"/>
      <c r="N329" s="276"/>
      <c r="O329" s="276"/>
      <c r="P329" s="280"/>
      <c r="Q329" s="359"/>
      <c r="R329" s="372" t="s">
        <v>168</v>
      </c>
    </row>
    <row r="330" spans="1:18" x14ac:dyDescent="0.35">
      <c r="A330" s="1072"/>
      <c r="B330" s="1020"/>
      <c r="C330" s="948">
        <v>299</v>
      </c>
      <c r="D330" s="950">
        <v>103.4</v>
      </c>
      <c r="E330" s="952">
        <f t="shared" si="11"/>
        <v>1112.9872600000001</v>
      </c>
      <c r="F330" s="944" t="s">
        <v>8</v>
      </c>
      <c r="G330" s="942"/>
      <c r="H330" s="942"/>
      <c r="I330" s="942"/>
      <c r="J330" s="964"/>
      <c r="K330" s="278" t="s">
        <v>63</v>
      </c>
      <c r="L330" s="966"/>
      <c r="M330" s="942"/>
      <c r="N330" s="944" t="s">
        <v>8</v>
      </c>
      <c r="O330" s="944"/>
      <c r="P330" s="954"/>
      <c r="Q330" s="956"/>
      <c r="R330" s="958" t="s">
        <v>171</v>
      </c>
    </row>
    <row r="331" spans="1:18" x14ac:dyDescent="0.35">
      <c r="A331" s="1072"/>
      <c r="B331" s="1020"/>
      <c r="C331" s="949"/>
      <c r="D331" s="951"/>
      <c r="E331" s="953"/>
      <c r="F331" s="945"/>
      <c r="G331" s="943"/>
      <c r="H331" s="943"/>
      <c r="I331" s="943"/>
      <c r="J331" s="965"/>
      <c r="K331" s="278" t="s">
        <v>64</v>
      </c>
      <c r="L331" s="967"/>
      <c r="M331" s="943"/>
      <c r="N331" s="945"/>
      <c r="O331" s="945"/>
      <c r="P331" s="955"/>
      <c r="Q331" s="960"/>
      <c r="R331" s="959"/>
    </row>
    <row r="332" spans="1:18" x14ac:dyDescent="0.35">
      <c r="A332" s="1072"/>
      <c r="B332" s="1020"/>
      <c r="C332" s="948">
        <v>300</v>
      </c>
      <c r="D332" s="950">
        <v>103.4</v>
      </c>
      <c r="E332" s="952">
        <f t="shared" si="11"/>
        <v>1112.9872600000001</v>
      </c>
      <c r="F332" s="944" t="s">
        <v>8</v>
      </c>
      <c r="G332" s="942"/>
      <c r="H332" s="942"/>
      <c r="I332" s="942"/>
      <c r="J332" s="964"/>
      <c r="K332" s="278" t="s">
        <v>63</v>
      </c>
      <c r="L332" s="966"/>
      <c r="M332" s="942"/>
      <c r="N332" s="944" t="s">
        <v>8</v>
      </c>
      <c r="O332" s="944"/>
      <c r="P332" s="954"/>
      <c r="Q332" s="956"/>
      <c r="R332" s="958" t="s">
        <v>171</v>
      </c>
    </row>
    <row r="333" spans="1:18" x14ac:dyDescent="0.35">
      <c r="A333" s="1072"/>
      <c r="B333" s="1020"/>
      <c r="C333" s="949"/>
      <c r="D333" s="951"/>
      <c r="E333" s="953"/>
      <c r="F333" s="945"/>
      <c r="G333" s="943"/>
      <c r="H333" s="943"/>
      <c r="I333" s="943"/>
      <c r="J333" s="965"/>
      <c r="K333" s="278" t="s">
        <v>64</v>
      </c>
      <c r="L333" s="967"/>
      <c r="M333" s="943"/>
      <c r="N333" s="945"/>
      <c r="O333" s="945"/>
      <c r="P333" s="955"/>
      <c r="Q333" s="957"/>
      <c r="R333" s="959"/>
    </row>
    <row r="334" spans="1:18" x14ac:dyDescent="0.35">
      <c r="A334" s="1072"/>
      <c r="B334" s="1020"/>
      <c r="C334" s="948">
        <v>301</v>
      </c>
      <c r="D334" s="950">
        <v>103.4</v>
      </c>
      <c r="E334" s="952">
        <f t="shared" si="11"/>
        <v>1112.9872600000001</v>
      </c>
      <c r="F334" s="944" t="s">
        <v>8</v>
      </c>
      <c r="G334" s="942"/>
      <c r="H334" s="942"/>
      <c r="I334" s="942"/>
      <c r="J334" s="964"/>
      <c r="K334" s="278" t="s">
        <v>63</v>
      </c>
      <c r="L334" s="966"/>
      <c r="M334" s="942"/>
      <c r="N334" s="944" t="s">
        <v>8</v>
      </c>
      <c r="O334" s="944"/>
      <c r="P334" s="954"/>
      <c r="Q334" s="957"/>
      <c r="R334" s="958" t="s">
        <v>171</v>
      </c>
    </row>
    <row r="335" spans="1:18" x14ac:dyDescent="0.35">
      <c r="A335" s="1072"/>
      <c r="B335" s="1020"/>
      <c r="C335" s="949"/>
      <c r="D335" s="951"/>
      <c r="E335" s="953"/>
      <c r="F335" s="945"/>
      <c r="G335" s="943"/>
      <c r="H335" s="943"/>
      <c r="I335" s="943"/>
      <c r="J335" s="965"/>
      <c r="K335" s="278" t="s">
        <v>64</v>
      </c>
      <c r="L335" s="967"/>
      <c r="M335" s="943"/>
      <c r="N335" s="945"/>
      <c r="O335" s="945"/>
      <c r="P335" s="955"/>
      <c r="Q335" s="960"/>
      <c r="R335" s="959"/>
    </row>
    <row r="336" spans="1:18" x14ac:dyDescent="0.35">
      <c r="A336" s="1072"/>
      <c r="B336" s="1020"/>
      <c r="C336" s="442">
        <v>302</v>
      </c>
      <c r="D336" s="25">
        <v>84.7</v>
      </c>
      <c r="E336" s="26">
        <f t="shared" si="11"/>
        <v>911.70232999999996</v>
      </c>
      <c r="F336" s="276"/>
      <c r="G336" s="276"/>
      <c r="H336" s="276"/>
      <c r="I336" s="276"/>
      <c r="J336" s="277" t="s">
        <v>8</v>
      </c>
      <c r="K336" s="278" t="s">
        <v>66</v>
      </c>
      <c r="L336" s="279"/>
      <c r="M336" s="276"/>
      <c r="N336" s="276" t="s">
        <v>8</v>
      </c>
      <c r="O336" s="276"/>
      <c r="P336" s="280"/>
      <c r="Q336" s="359"/>
      <c r="R336" s="372" t="s">
        <v>168</v>
      </c>
    </row>
    <row r="337" spans="1:19" x14ac:dyDescent="0.35">
      <c r="A337" s="1072"/>
      <c r="B337" s="1020"/>
      <c r="C337" s="442">
        <v>303</v>
      </c>
      <c r="D337" s="25">
        <v>84.7</v>
      </c>
      <c r="E337" s="26">
        <f t="shared" si="11"/>
        <v>911.70232999999996</v>
      </c>
      <c r="F337" s="276"/>
      <c r="G337" s="276"/>
      <c r="H337" s="276"/>
      <c r="I337" s="276"/>
      <c r="J337" s="277" t="s">
        <v>8</v>
      </c>
      <c r="K337" s="278" t="s">
        <v>179</v>
      </c>
      <c r="L337" s="279"/>
      <c r="M337" s="276"/>
      <c r="N337" s="276" t="s">
        <v>8</v>
      </c>
      <c r="O337" s="276"/>
      <c r="P337" s="280"/>
      <c r="Q337" s="361"/>
      <c r="R337" s="372" t="s">
        <v>168</v>
      </c>
    </row>
    <row r="338" spans="1:19" x14ac:dyDescent="0.35">
      <c r="A338" s="1072"/>
      <c r="B338" s="1020"/>
      <c r="C338" s="442">
        <v>304</v>
      </c>
      <c r="D338" s="25">
        <v>54.1</v>
      </c>
      <c r="E338" s="26">
        <f t="shared" si="11"/>
        <v>582.32699000000002</v>
      </c>
      <c r="F338" s="276"/>
      <c r="G338" s="276"/>
      <c r="H338" s="276"/>
      <c r="I338" s="276"/>
      <c r="J338" s="277" t="s">
        <v>8</v>
      </c>
      <c r="K338" s="278" t="s">
        <v>66</v>
      </c>
      <c r="L338" s="279" t="s">
        <v>8</v>
      </c>
      <c r="M338" s="276"/>
      <c r="N338" s="276"/>
      <c r="O338" s="276"/>
      <c r="P338" s="280"/>
      <c r="Q338" s="359"/>
      <c r="R338" s="372" t="s">
        <v>168</v>
      </c>
    </row>
    <row r="339" spans="1:19" x14ac:dyDescent="0.35">
      <c r="A339" s="1072"/>
      <c r="B339" s="1020"/>
      <c r="C339" s="442">
        <v>305</v>
      </c>
      <c r="D339" s="25">
        <v>54.1</v>
      </c>
      <c r="E339" s="26">
        <f t="shared" si="11"/>
        <v>582.32699000000002</v>
      </c>
      <c r="F339" s="276"/>
      <c r="G339" s="276"/>
      <c r="H339" s="276"/>
      <c r="I339" s="276"/>
      <c r="J339" s="277" t="s">
        <v>8</v>
      </c>
      <c r="K339" s="278" t="s">
        <v>63</v>
      </c>
      <c r="L339" s="279" t="s">
        <v>8</v>
      </c>
      <c r="M339" s="276"/>
      <c r="N339" s="276"/>
      <c r="O339" s="276"/>
      <c r="P339" s="280"/>
      <c r="Q339" s="359"/>
      <c r="R339" s="372" t="s">
        <v>168</v>
      </c>
    </row>
    <row r="340" spans="1:19" x14ac:dyDescent="0.35">
      <c r="A340" s="1072"/>
      <c r="B340" s="1020"/>
      <c r="C340" s="442">
        <v>306</v>
      </c>
      <c r="D340" s="25">
        <v>65.5</v>
      </c>
      <c r="E340" s="26">
        <f>SUM(D340*10.7639)</f>
        <v>705.03544999999997</v>
      </c>
      <c r="F340" s="276"/>
      <c r="G340" s="276"/>
      <c r="H340" s="276"/>
      <c r="I340" s="276" t="s">
        <v>8</v>
      </c>
      <c r="J340" s="277"/>
      <c r="K340" s="278" t="s">
        <v>179</v>
      </c>
      <c r="L340" s="279" t="s">
        <v>8</v>
      </c>
      <c r="M340" s="276"/>
      <c r="N340" s="276"/>
      <c r="O340" s="276"/>
      <c r="P340" s="280"/>
      <c r="Q340" s="359"/>
      <c r="R340" s="372" t="s">
        <v>168</v>
      </c>
    </row>
    <row r="341" spans="1:19" x14ac:dyDescent="0.35">
      <c r="A341" s="1072"/>
      <c r="B341" s="1020"/>
      <c r="C341" s="442">
        <v>307</v>
      </c>
      <c r="D341" s="25">
        <v>89.5</v>
      </c>
      <c r="E341" s="26">
        <f t="shared" ref="E341:E353" si="12">SUM(D341*10.7639)</f>
        <v>963.36905000000002</v>
      </c>
      <c r="F341" s="276"/>
      <c r="G341" s="276"/>
      <c r="H341" s="276" t="s">
        <v>8</v>
      </c>
      <c r="I341" s="276"/>
      <c r="J341" s="277"/>
      <c r="K341" s="278" t="s">
        <v>163</v>
      </c>
      <c r="L341" s="279"/>
      <c r="M341" s="276"/>
      <c r="N341" s="276" t="s">
        <v>8</v>
      </c>
      <c r="O341" s="276"/>
      <c r="P341" s="280"/>
      <c r="Q341" s="359"/>
      <c r="R341" s="371" t="s">
        <v>170</v>
      </c>
    </row>
    <row r="342" spans="1:19" x14ac:dyDescent="0.35">
      <c r="A342" s="1072"/>
      <c r="B342" s="1020"/>
      <c r="C342" s="948">
        <v>308</v>
      </c>
      <c r="D342" s="950">
        <v>103.4</v>
      </c>
      <c r="E342" s="952">
        <f t="shared" si="12"/>
        <v>1112.9872600000001</v>
      </c>
      <c r="F342" s="944" t="s">
        <v>8</v>
      </c>
      <c r="G342" s="942"/>
      <c r="H342" s="942"/>
      <c r="I342" s="942"/>
      <c r="J342" s="964"/>
      <c r="K342" s="278" t="s">
        <v>63</v>
      </c>
      <c r="L342" s="966"/>
      <c r="M342" s="942"/>
      <c r="N342" s="944" t="s">
        <v>8</v>
      </c>
      <c r="O342" s="944"/>
      <c r="P342" s="954"/>
      <c r="Q342" s="956"/>
      <c r="R342" s="958" t="s">
        <v>171</v>
      </c>
    </row>
    <row r="343" spans="1:19" x14ac:dyDescent="0.35">
      <c r="A343" s="1072"/>
      <c r="B343" s="1020"/>
      <c r="C343" s="949"/>
      <c r="D343" s="951"/>
      <c r="E343" s="953"/>
      <c r="F343" s="945"/>
      <c r="G343" s="943"/>
      <c r="H343" s="943"/>
      <c r="I343" s="943"/>
      <c r="J343" s="965"/>
      <c r="K343" s="278" t="s">
        <v>64</v>
      </c>
      <c r="L343" s="967"/>
      <c r="M343" s="943"/>
      <c r="N343" s="945"/>
      <c r="O343" s="945"/>
      <c r="P343" s="955"/>
      <c r="Q343" s="957"/>
      <c r="R343" s="959"/>
    </row>
    <row r="344" spans="1:19" x14ac:dyDescent="0.35">
      <c r="A344" s="1072"/>
      <c r="B344" s="1020"/>
      <c r="C344" s="948">
        <v>309</v>
      </c>
      <c r="D344" s="950">
        <v>103.4</v>
      </c>
      <c r="E344" s="952">
        <f t="shared" si="12"/>
        <v>1112.9872600000001</v>
      </c>
      <c r="F344" s="944" t="s">
        <v>8</v>
      </c>
      <c r="G344" s="942"/>
      <c r="H344" s="942"/>
      <c r="I344" s="942"/>
      <c r="J344" s="964"/>
      <c r="K344" s="278" t="s">
        <v>63</v>
      </c>
      <c r="L344" s="966"/>
      <c r="M344" s="942"/>
      <c r="N344" s="944" t="s">
        <v>8</v>
      </c>
      <c r="O344" s="944"/>
      <c r="P344" s="954"/>
      <c r="Q344" s="957"/>
      <c r="R344" s="958" t="s">
        <v>171</v>
      </c>
    </row>
    <row r="345" spans="1:19" x14ac:dyDescent="0.35">
      <c r="A345" s="1072"/>
      <c r="B345" s="1020"/>
      <c r="C345" s="949"/>
      <c r="D345" s="951"/>
      <c r="E345" s="953"/>
      <c r="F345" s="945"/>
      <c r="G345" s="943"/>
      <c r="H345" s="943"/>
      <c r="I345" s="943"/>
      <c r="J345" s="965"/>
      <c r="K345" s="278" t="s">
        <v>64</v>
      </c>
      <c r="L345" s="967"/>
      <c r="M345" s="943"/>
      <c r="N345" s="945"/>
      <c r="O345" s="945"/>
      <c r="P345" s="955"/>
      <c r="Q345" s="960"/>
      <c r="R345" s="959"/>
    </row>
    <row r="346" spans="1:19" x14ac:dyDescent="0.35">
      <c r="A346" s="1072"/>
      <c r="B346" s="1020"/>
      <c r="C346" s="948">
        <v>310</v>
      </c>
      <c r="D346" s="950">
        <v>103.4</v>
      </c>
      <c r="E346" s="952">
        <f t="shared" si="12"/>
        <v>1112.9872600000001</v>
      </c>
      <c r="F346" s="944" t="s">
        <v>8</v>
      </c>
      <c r="G346" s="942"/>
      <c r="H346" s="942"/>
      <c r="I346" s="962"/>
      <c r="J346" s="964"/>
      <c r="K346" s="278" t="s">
        <v>63</v>
      </c>
      <c r="L346" s="966"/>
      <c r="M346" s="942"/>
      <c r="N346" s="944" t="s">
        <v>8</v>
      </c>
      <c r="O346" s="944"/>
      <c r="P346" s="954"/>
      <c r="Q346" s="956"/>
      <c r="R346" s="958" t="s">
        <v>171</v>
      </c>
    </row>
    <row r="347" spans="1:19" x14ac:dyDescent="0.35">
      <c r="A347" s="1072"/>
      <c r="B347" s="1020"/>
      <c r="C347" s="949"/>
      <c r="D347" s="951"/>
      <c r="E347" s="953"/>
      <c r="F347" s="945"/>
      <c r="G347" s="943"/>
      <c r="H347" s="943"/>
      <c r="I347" s="963"/>
      <c r="J347" s="965"/>
      <c r="K347" s="278" t="s">
        <v>64</v>
      </c>
      <c r="L347" s="967"/>
      <c r="M347" s="943"/>
      <c r="N347" s="945"/>
      <c r="O347" s="945"/>
      <c r="P347" s="955"/>
      <c r="Q347" s="960"/>
      <c r="R347" s="959"/>
    </row>
    <row r="348" spans="1:19" x14ac:dyDescent="0.35">
      <c r="A348" s="1072"/>
      <c r="B348" s="1020"/>
      <c r="C348" s="519">
        <v>311</v>
      </c>
      <c r="D348" s="25">
        <v>40.1</v>
      </c>
      <c r="E348" s="26">
        <f t="shared" si="12"/>
        <v>431.63238999999999</v>
      </c>
      <c r="F348" s="276"/>
      <c r="G348" s="276"/>
      <c r="H348" s="521" t="s">
        <v>8</v>
      </c>
      <c r="I348" s="276"/>
      <c r="J348" s="277"/>
      <c r="K348" s="278" t="s">
        <v>64</v>
      </c>
      <c r="L348" s="279" t="s">
        <v>8</v>
      </c>
      <c r="M348" s="276"/>
      <c r="N348" s="276"/>
      <c r="O348" s="276"/>
      <c r="P348" s="280"/>
      <c r="Q348" s="359"/>
      <c r="R348" s="372" t="s">
        <v>168</v>
      </c>
      <c r="S348" s="2" t="s">
        <v>8</v>
      </c>
    </row>
    <row r="349" spans="1:19" x14ac:dyDescent="0.35">
      <c r="A349" s="1072"/>
      <c r="B349" s="1020"/>
      <c r="C349" s="519">
        <v>312</v>
      </c>
      <c r="D349" s="25">
        <v>42</v>
      </c>
      <c r="E349" s="26">
        <f t="shared" si="12"/>
        <v>452.0838</v>
      </c>
      <c r="F349" s="276"/>
      <c r="G349" s="276"/>
      <c r="H349" s="521" t="s">
        <v>8</v>
      </c>
      <c r="I349" s="276"/>
      <c r="J349" s="277"/>
      <c r="K349" s="278" t="s">
        <v>65</v>
      </c>
      <c r="L349" s="279" t="s">
        <v>8</v>
      </c>
      <c r="M349" s="276"/>
      <c r="N349" s="276"/>
      <c r="O349" s="276"/>
      <c r="P349" s="280"/>
      <c r="Q349" s="359"/>
      <c r="R349" s="372" t="s">
        <v>168</v>
      </c>
      <c r="S349" s="2" t="s">
        <v>8</v>
      </c>
    </row>
    <row r="350" spans="1:19" x14ac:dyDescent="0.35">
      <c r="A350" s="1072"/>
      <c r="B350" s="1020"/>
      <c r="C350" s="519">
        <v>313</v>
      </c>
      <c r="D350" s="25">
        <v>42</v>
      </c>
      <c r="E350" s="26">
        <f t="shared" si="12"/>
        <v>452.0838</v>
      </c>
      <c r="F350" s="276"/>
      <c r="G350" s="276"/>
      <c r="H350" s="521" t="s">
        <v>8</v>
      </c>
      <c r="I350" s="276"/>
      <c r="J350" s="277"/>
      <c r="K350" s="278" t="s">
        <v>65</v>
      </c>
      <c r="L350" s="279" t="s">
        <v>8</v>
      </c>
      <c r="M350" s="276"/>
      <c r="N350" s="276"/>
      <c r="O350" s="276"/>
      <c r="P350" s="280"/>
      <c r="Q350" s="359"/>
      <c r="R350" s="372" t="s">
        <v>168</v>
      </c>
      <c r="S350" s="2" t="s">
        <v>8</v>
      </c>
    </row>
    <row r="351" spans="1:19" x14ac:dyDescent="0.35">
      <c r="A351" s="1072"/>
      <c r="B351" s="1020"/>
      <c r="C351" s="442">
        <v>314</v>
      </c>
      <c r="D351" s="25">
        <v>80.099999999999994</v>
      </c>
      <c r="E351" s="26">
        <f t="shared" si="12"/>
        <v>862.18838999999991</v>
      </c>
      <c r="F351" s="276"/>
      <c r="G351" s="276"/>
      <c r="H351" s="276" t="s">
        <v>8</v>
      </c>
      <c r="I351" s="276"/>
      <c r="J351" s="277"/>
      <c r="K351" s="278" t="s">
        <v>66</v>
      </c>
      <c r="L351" s="279"/>
      <c r="M351" s="276" t="s">
        <v>8</v>
      </c>
      <c r="N351" s="276"/>
      <c r="O351" s="276"/>
      <c r="P351" s="280"/>
      <c r="Q351" s="359"/>
      <c r="R351" s="371" t="s">
        <v>170</v>
      </c>
    </row>
    <row r="352" spans="1:19" x14ac:dyDescent="0.35">
      <c r="A352" s="1072"/>
      <c r="B352" s="1020"/>
      <c r="C352" s="442">
        <v>315</v>
      </c>
      <c r="D352" s="25">
        <v>80.099999999999994</v>
      </c>
      <c r="E352" s="26">
        <f t="shared" si="12"/>
        <v>862.18838999999991</v>
      </c>
      <c r="F352" s="276"/>
      <c r="G352" s="276"/>
      <c r="H352" s="276" t="s">
        <v>8</v>
      </c>
      <c r="I352" s="276"/>
      <c r="J352" s="277"/>
      <c r="K352" s="278" t="s">
        <v>66</v>
      </c>
      <c r="L352" s="279"/>
      <c r="M352" s="276" t="s">
        <v>8</v>
      </c>
      <c r="N352" s="276"/>
      <c r="O352" s="276"/>
      <c r="P352" s="357"/>
      <c r="Q352" s="356"/>
      <c r="R352" s="371" t="s">
        <v>170</v>
      </c>
    </row>
    <row r="353" spans="1:23" ht="18" thickBot="1" x14ac:dyDescent="0.4">
      <c r="A353" s="1073"/>
      <c r="B353" s="1114"/>
      <c r="C353" s="520">
        <v>316</v>
      </c>
      <c r="D353" s="449">
        <v>40.1</v>
      </c>
      <c r="E353" s="450">
        <f t="shared" si="12"/>
        <v>431.63238999999999</v>
      </c>
      <c r="F353" s="451"/>
      <c r="G353" s="451"/>
      <c r="H353" s="523" t="s">
        <v>8</v>
      </c>
      <c r="I353" s="451"/>
      <c r="J353" s="452"/>
      <c r="K353" s="453" t="s">
        <v>64</v>
      </c>
      <c r="L353" s="454" t="s">
        <v>8</v>
      </c>
      <c r="M353" s="451"/>
      <c r="N353" s="451"/>
      <c r="O353" s="451"/>
      <c r="P353" s="358"/>
      <c r="Q353" s="363"/>
      <c r="R353" s="372" t="s">
        <v>168</v>
      </c>
      <c r="S353" s="2" t="s">
        <v>8</v>
      </c>
      <c r="W353" s="35"/>
    </row>
    <row r="354" spans="1:23" ht="17.25" customHeight="1" x14ac:dyDescent="0.35">
      <c r="A354" s="1025" t="s">
        <v>165</v>
      </c>
      <c r="B354" s="1026"/>
      <c r="C354" s="302" t="s">
        <v>9</v>
      </c>
      <c r="D354" s="30">
        <v>69.25</v>
      </c>
      <c r="E354" s="31">
        <f t="shared" ref="E354:E359" si="13">SUM(D354*10.7639)</f>
        <v>745.40007500000002</v>
      </c>
      <c r="F354" s="32"/>
      <c r="G354" s="32"/>
      <c r="H354" s="32"/>
      <c r="I354" s="32"/>
      <c r="J354" s="176"/>
      <c r="K354" s="179"/>
      <c r="L354" s="34"/>
      <c r="M354" s="32"/>
      <c r="N354" s="32"/>
      <c r="O354" s="32"/>
      <c r="P354" s="33"/>
      <c r="Q354" s="364"/>
      <c r="R354" s="364"/>
    </row>
    <row r="355" spans="1:23" x14ac:dyDescent="0.35">
      <c r="A355" s="1029"/>
      <c r="B355" s="1030"/>
      <c r="C355" s="303" t="s">
        <v>10</v>
      </c>
      <c r="D355" s="25">
        <v>71.569999999999993</v>
      </c>
      <c r="E355" s="26">
        <f t="shared" si="13"/>
        <v>770.37232299999994</v>
      </c>
      <c r="F355" s="6"/>
      <c r="G355" s="6"/>
      <c r="H355" s="6"/>
      <c r="I355" s="6"/>
      <c r="J355" s="175"/>
      <c r="K355" s="178"/>
      <c r="L355" s="7"/>
      <c r="M355" s="6"/>
      <c r="N355" s="6"/>
      <c r="O355" s="6"/>
      <c r="P355" s="8"/>
      <c r="Q355" s="359"/>
      <c r="R355" s="359"/>
      <c r="S355" s="35"/>
      <c r="T355" s="35"/>
      <c r="U355" s="35"/>
    </row>
    <row r="356" spans="1:23" x14ac:dyDescent="0.35">
      <c r="A356" s="1029"/>
      <c r="B356" s="1030"/>
      <c r="C356" s="303" t="s">
        <v>11</v>
      </c>
      <c r="D356" s="25">
        <v>75</v>
      </c>
      <c r="E356" s="26">
        <f t="shared" si="13"/>
        <v>807.29250000000002</v>
      </c>
      <c r="F356" s="6"/>
      <c r="G356" s="6"/>
      <c r="H356" s="6"/>
      <c r="I356" s="6"/>
      <c r="J356" s="175"/>
      <c r="K356" s="178"/>
      <c r="L356" s="7"/>
      <c r="M356" s="6"/>
      <c r="N356" s="6"/>
      <c r="O356" s="6"/>
      <c r="P356" s="8"/>
      <c r="Q356" s="359"/>
      <c r="R356" s="359"/>
      <c r="S356" s="35"/>
      <c r="T356" s="35"/>
      <c r="U356" s="35"/>
      <c r="V356" s="35"/>
      <c r="W356" s="35"/>
    </row>
    <row r="357" spans="1:23" x14ac:dyDescent="0.35">
      <c r="A357" s="1029"/>
      <c r="B357" s="1030"/>
      <c r="C357" s="303" t="s">
        <v>12</v>
      </c>
      <c r="D357" s="25">
        <v>47</v>
      </c>
      <c r="E357" s="26">
        <f t="shared" si="13"/>
        <v>505.9033</v>
      </c>
      <c r="F357" s="6"/>
      <c r="G357" s="6"/>
      <c r="H357" s="6"/>
      <c r="I357" s="6"/>
      <c r="J357" s="175"/>
      <c r="K357" s="178"/>
      <c r="L357" s="7"/>
      <c r="M357" s="6"/>
      <c r="N357" s="6"/>
      <c r="O357" s="6"/>
      <c r="P357" s="8"/>
      <c r="Q357" s="361"/>
      <c r="R357" s="361"/>
      <c r="S357" s="35"/>
    </row>
    <row r="358" spans="1:23" ht="18" thickBot="1" x14ac:dyDescent="0.4">
      <c r="A358" s="1027"/>
      <c r="B358" s="1028"/>
      <c r="C358" s="303" t="s">
        <v>13</v>
      </c>
      <c r="D358" s="25">
        <v>47</v>
      </c>
      <c r="E358" s="26">
        <f t="shared" si="13"/>
        <v>505.9033</v>
      </c>
      <c r="F358" s="6"/>
      <c r="G358" s="6"/>
      <c r="H358" s="6"/>
      <c r="I358" s="6"/>
      <c r="J358" s="175"/>
      <c r="K358" s="178"/>
      <c r="L358" s="7"/>
      <c r="M358" s="6"/>
      <c r="N358" s="6"/>
      <c r="O358" s="6"/>
      <c r="P358" s="8"/>
      <c r="Q358" s="362"/>
      <c r="R358" s="362"/>
    </row>
    <row r="359" spans="1:23" ht="17.25" customHeight="1" x14ac:dyDescent="0.35">
      <c r="A359" s="1025" t="s">
        <v>166</v>
      </c>
      <c r="B359" s="1026"/>
      <c r="C359" s="1031" t="s">
        <v>14</v>
      </c>
      <c r="D359" s="1033">
        <v>169.5</v>
      </c>
      <c r="E359" s="952">
        <f t="shared" si="13"/>
        <v>1824.4810499999999</v>
      </c>
      <c r="F359" s="6"/>
      <c r="G359" s="6"/>
      <c r="H359" s="6"/>
      <c r="I359" s="6"/>
      <c r="J359" s="175"/>
      <c r="K359" s="178"/>
      <c r="L359" s="7"/>
      <c r="M359" s="6"/>
      <c r="N359" s="6"/>
      <c r="O359" s="6"/>
      <c r="P359" s="8"/>
      <c r="Q359" s="362"/>
      <c r="R359" s="362"/>
    </row>
    <row r="360" spans="1:23" ht="18" thickBot="1" x14ac:dyDescent="0.4">
      <c r="A360" s="1027"/>
      <c r="B360" s="1028"/>
      <c r="C360" s="1032"/>
      <c r="D360" s="1034"/>
      <c r="E360" s="953"/>
      <c r="F360" s="6"/>
      <c r="G360" s="6"/>
      <c r="H360" s="6"/>
      <c r="I360" s="6"/>
      <c r="J360" s="175"/>
      <c r="K360" s="178"/>
      <c r="L360" s="7"/>
      <c r="M360" s="6"/>
      <c r="N360" s="6"/>
      <c r="O360" s="6"/>
      <c r="P360" s="8"/>
      <c r="Q360" s="362"/>
      <c r="R360" s="362"/>
    </row>
    <row r="361" spans="1:23" x14ac:dyDescent="0.35">
      <c r="C361" s="304" t="s">
        <v>38</v>
      </c>
      <c r="D361" s="180">
        <f>SUM(D354:D359)</f>
        <v>479.32</v>
      </c>
      <c r="E361" s="181">
        <f>SUM(E354:E359)</f>
        <v>5159.3525479999998</v>
      </c>
      <c r="F361" s="6"/>
      <c r="G361" s="6"/>
      <c r="H361" s="6"/>
      <c r="I361" s="6"/>
      <c r="J361" s="175"/>
      <c r="K361" s="178"/>
      <c r="L361" s="7"/>
      <c r="M361" s="6"/>
      <c r="N361" s="6"/>
      <c r="O361" s="6"/>
      <c r="P361" s="8"/>
      <c r="Q361" s="362"/>
      <c r="R361" s="362"/>
    </row>
    <row r="362" spans="1:23" x14ac:dyDescent="0.35">
      <c r="C362" s="627" t="s">
        <v>330</v>
      </c>
      <c r="D362" s="17">
        <f>SUM(D354:D358)</f>
        <v>309.82</v>
      </c>
      <c r="E362" s="628">
        <f>SUM(E354:E358)</f>
        <v>3334.871498</v>
      </c>
      <c r="F362" s="6"/>
      <c r="G362" s="6"/>
      <c r="H362" s="6"/>
      <c r="I362" s="6"/>
      <c r="J362" s="175"/>
      <c r="K362" s="178"/>
      <c r="L362" s="7"/>
      <c r="M362" s="6"/>
      <c r="N362" s="6"/>
      <c r="O362" s="6"/>
      <c r="P362" s="8"/>
      <c r="Q362" s="362"/>
      <c r="R362" s="362"/>
    </row>
    <row r="363" spans="1:23" ht="18" thickBot="1" x14ac:dyDescent="0.4">
      <c r="C363" s="305"/>
      <c r="D363" s="306"/>
      <c r="E363" s="306"/>
      <c r="F363" s="307"/>
      <c r="G363" s="307"/>
      <c r="H363" s="307"/>
      <c r="I363" s="307"/>
      <c r="J363" s="177"/>
      <c r="K363" s="308"/>
      <c r="L363" s="7"/>
      <c r="M363" s="6"/>
      <c r="N363" s="6"/>
      <c r="O363" s="6"/>
      <c r="P363" s="8"/>
      <c r="Q363" s="365"/>
      <c r="R363" s="365"/>
    </row>
    <row r="364" spans="1:23" ht="30.75" thickBot="1" x14ac:dyDescent="0.4">
      <c r="C364" s="9" t="s">
        <v>5</v>
      </c>
      <c r="D364" s="18"/>
      <c r="E364" s="24"/>
      <c r="F364" s="10">
        <f>COUNTA(F6:F363)</f>
        <v>104</v>
      </c>
      <c r="G364" s="10">
        <f>COUNTA(G6:G363)</f>
        <v>3</v>
      </c>
      <c r="H364" s="10">
        <f>COUNTA(H6:H363)</f>
        <v>63</v>
      </c>
      <c r="I364" s="10">
        <f>COUNTA(I6:I363)</f>
        <v>28</v>
      </c>
      <c r="J364" s="10">
        <f>COUNTA(J6:J363)</f>
        <v>119</v>
      </c>
      <c r="K364" s="10">
        <f>SUM(F364:J364)</f>
        <v>317</v>
      </c>
      <c r="L364" s="14">
        <f>COUNTA(L6:L363)</f>
        <v>139</v>
      </c>
      <c r="M364" s="15">
        <f>COUNTA(M6:M363)</f>
        <v>96</v>
      </c>
      <c r="N364" s="15">
        <f>COUNTA(N6:N363)</f>
        <v>69</v>
      </c>
      <c r="O364" s="15">
        <f>COUNTA(O6:O363)</f>
        <v>13</v>
      </c>
      <c r="P364" s="16">
        <f>COUNTA(P6:P363)</f>
        <v>0</v>
      </c>
      <c r="Q364" s="47">
        <f>COUNTA(Q6:Q353)</f>
        <v>27</v>
      </c>
      <c r="R364" s="109">
        <f>COUNTA(R6:R353)</f>
        <v>317</v>
      </c>
      <c r="S364" s="2">
        <f>COUNTA(S6:S363)</f>
        <v>64</v>
      </c>
    </row>
    <row r="365" spans="1:23" ht="30.75" thickBot="1" x14ac:dyDescent="0.4">
      <c r="C365" s="288" t="s">
        <v>119</v>
      </c>
      <c r="D365" s="1111">
        <f>SUM(D6:D353)</f>
        <v>22694.200000000077</v>
      </c>
      <c r="E365" s="1112"/>
      <c r="F365" s="1112"/>
      <c r="G365" s="1112"/>
      <c r="H365" s="1112"/>
      <c r="I365" s="1112"/>
      <c r="J365" s="1112"/>
      <c r="K365" s="1113"/>
      <c r="L365" s="11">
        <f>SUM(1/L366*L364)</f>
        <v>0.43848580441640378</v>
      </c>
      <c r="M365" s="12">
        <f>SUM(1/L366*M364)</f>
        <v>0.30283911671924291</v>
      </c>
      <c r="N365" s="12">
        <f>SUM(1/L366*N364)</f>
        <v>0.21766561514195584</v>
      </c>
      <c r="O365" s="12">
        <f>SUM(1/L366*O364)</f>
        <v>4.1009463722397478E-2</v>
      </c>
      <c r="P365" s="13">
        <f>SUM(1/L366*P364)</f>
        <v>0</v>
      </c>
      <c r="Q365" s="369">
        <f>SUM(1/L366*Q364)</f>
        <v>8.5173501577287064E-2</v>
      </c>
      <c r="R365" s="369"/>
    </row>
    <row r="366" spans="1:23" ht="60.75" thickBot="1" x14ac:dyDescent="0.4">
      <c r="C366" s="287" t="s">
        <v>120</v>
      </c>
      <c r="D366" s="1108">
        <f>SUM(D6:D359)</f>
        <v>23173.520000000077</v>
      </c>
      <c r="E366" s="1109"/>
      <c r="F366" s="1109"/>
      <c r="G366" s="1109"/>
      <c r="H366" s="1109"/>
      <c r="I366" s="1109"/>
      <c r="J366" s="1109"/>
      <c r="K366" s="1110"/>
      <c r="L366" s="1009">
        <f>SUM(L364:P364)</f>
        <v>317</v>
      </c>
      <c r="M366" s="1010"/>
      <c r="N366" s="1010"/>
      <c r="O366" s="1010"/>
      <c r="P366" s="1011"/>
      <c r="Q366" s="367"/>
      <c r="R366" s="367"/>
    </row>
    <row r="367" spans="1:23" ht="60.75" thickBot="1" x14ac:dyDescent="0.4">
      <c r="C367" s="289" t="s">
        <v>121</v>
      </c>
      <c r="D367" s="1105">
        <f>SUM(D366*10.7639)</f>
        <v>249437.45192800081</v>
      </c>
      <c r="E367" s="1106"/>
      <c r="F367" s="1106"/>
      <c r="G367" s="1106"/>
      <c r="H367" s="1106"/>
      <c r="I367" s="1106"/>
      <c r="J367" s="1106"/>
      <c r="K367" s="1107"/>
      <c r="L367" s="1012"/>
      <c r="M367" s="1013"/>
      <c r="N367" s="1013"/>
      <c r="O367" s="1013"/>
      <c r="P367" s="1014"/>
      <c r="Q367" s="368"/>
      <c r="R367" s="368"/>
    </row>
    <row r="368" spans="1:23" x14ac:dyDescent="0.35">
      <c r="Q368" s="355"/>
    </row>
    <row r="369" spans="1:17" x14ac:dyDescent="0.35">
      <c r="A369" s="28" t="s">
        <v>27</v>
      </c>
      <c r="B369" s="291"/>
      <c r="C369" s="28"/>
      <c r="D369" s="28"/>
      <c r="E369" s="29"/>
      <c r="F369" s="29"/>
      <c r="G369" s="29"/>
      <c r="H369" s="29"/>
      <c r="I369" s="29"/>
      <c r="J369" s="29"/>
      <c r="K369" s="28"/>
      <c r="L369" s="29"/>
      <c r="M369" s="29"/>
      <c r="N369" s="29"/>
      <c r="O369" s="29"/>
      <c r="P369" s="29"/>
      <c r="Q369" s="29"/>
    </row>
    <row r="370" spans="1:17" ht="29.25" customHeight="1" x14ac:dyDescent="0.3">
      <c r="A370" s="1044" t="s">
        <v>92</v>
      </c>
      <c r="B370" s="1044"/>
      <c r="C370" s="1104"/>
      <c r="D370" s="269" t="s">
        <v>31</v>
      </c>
      <c r="E370" s="221" t="s">
        <v>32</v>
      </c>
      <c r="F370" s="1023" t="s">
        <v>33</v>
      </c>
      <c r="G370" s="1023"/>
      <c r="H370" s="1023"/>
      <c r="I370" s="1024" t="s">
        <v>34</v>
      </c>
      <c r="J370" s="1024"/>
      <c r="K370" s="271" t="s">
        <v>90</v>
      </c>
      <c r="L370" s="105" t="s">
        <v>97</v>
      </c>
      <c r="M370" s="270" t="s">
        <v>42</v>
      </c>
      <c r="O370" s="1023" t="s">
        <v>35</v>
      </c>
      <c r="P370" s="1040"/>
      <c r="Q370" s="270" t="s">
        <v>39</v>
      </c>
    </row>
    <row r="371" spans="1:17" x14ac:dyDescent="0.35">
      <c r="A371" s="847" t="s">
        <v>93</v>
      </c>
      <c r="B371" s="1008"/>
      <c r="C371" s="1037"/>
      <c r="D371" s="105">
        <v>0</v>
      </c>
      <c r="E371" s="272">
        <v>34.6</v>
      </c>
      <c r="F371" s="1022">
        <v>0</v>
      </c>
      <c r="G371" s="1022"/>
      <c r="H371" s="1022"/>
      <c r="I371" s="1022">
        <v>0</v>
      </c>
      <c r="J371" s="1022"/>
      <c r="K371" s="72">
        <v>47.5</v>
      </c>
      <c r="L371" s="267">
        <f t="shared" ref="L371:L378" si="14">SUM(D371:K371)</f>
        <v>82.1</v>
      </c>
      <c r="M371" s="273">
        <f>SUM(L371*10.7639)</f>
        <v>883.71618999999987</v>
      </c>
      <c r="O371" s="1022">
        <v>140</v>
      </c>
      <c r="P371" s="1041"/>
      <c r="Q371" s="105">
        <v>0</v>
      </c>
    </row>
    <row r="372" spans="1:17" x14ac:dyDescent="0.35">
      <c r="A372" s="805" t="s">
        <v>20</v>
      </c>
      <c r="B372" s="807"/>
      <c r="C372" s="804"/>
      <c r="D372" s="105">
        <v>0</v>
      </c>
      <c r="E372" s="105">
        <v>14.6</v>
      </c>
      <c r="F372" s="1038">
        <v>0</v>
      </c>
      <c r="G372" s="1038"/>
      <c r="H372" s="1038"/>
      <c r="I372" s="1038">
        <v>0</v>
      </c>
      <c r="J372" s="1038"/>
      <c r="K372" s="72">
        <v>40</v>
      </c>
      <c r="L372" s="223">
        <f t="shared" si="14"/>
        <v>54.6</v>
      </c>
      <c r="M372" s="273">
        <f t="shared" ref="M372:M378" si="15">SUM(L372*10.7639)</f>
        <v>587.70893999999998</v>
      </c>
      <c r="O372" s="1038">
        <v>110.2</v>
      </c>
      <c r="P372" s="1039"/>
      <c r="Q372" s="105">
        <v>11.4</v>
      </c>
    </row>
    <row r="373" spans="1:17" x14ac:dyDescent="0.35">
      <c r="A373" s="805" t="s">
        <v>21</v>
      </c>
      <c r="B373" s="807"/>
      <c r="C373" s="804"/>
      <c r="D373" s="105">
        <v>43.9</v>
      </c>
      <c r="E373" s="105">
        <v>12.1</v>
      </c>
      <c r="F373" s="1038">
        <v>52.5</v>
      </c>
      <c r="G373" s="1038"/>
      <c r="H373" s="1038"/>
      <c r="I373" s="1038">
        <v>0</v>
      </c>
      <c r="J373" s="1038"/>
      <c r="K373" s="72">
        <v>38.9</v>
      </c>
      <c r="L373" s="223">
        <f t="shared" si="14"/>
        <v>147.4</v>
      </c>
      <c r="M373" s="273">
        <f t="shared" si="15"/>
        <v>1586.5988600000001</v>
      </c>
      <c r="O373" s="1038">
        <v>59.9</v>
      </c>
      <c r="P373" s="1039"/>
      <c r="Q373" s="105">
        <v>9.8000000000000007</v>
      </c>
    </row>
    <row r="374" spans="1:17" x14ac:dyDescent="0.35">
      <c r="A374" s="805" t="s">
        <v>22</v>
      </c>
      <c r="B374" s="807"/>
      <c r="C374" s="807"/>
      <c r="D374" s="268">
        <v>127.8</v>
      </c>
      <c r="E374" s="105">
        <v>14.8</v>
      </c>
      <c r="F374" s="1038">
        <v>40.200000000000003</v>
      </c>
      <c r="G374" s="1038"/>
      <c r="H374" s="1038"/>
      <c r="I374" s="1038">
        <v>0</v>
      </c>
      <c r="J374" s="1038"/>
      <c r="K374" s="72">
        <v>20</v>
      </c>
      <c r="L374" s="223">
        <f t="shared" si="14"/>
        <v>202.8</v>
      </c>
      <c r="M374" s="273">
        <f t="shared" si="15"/>
        <v>2182.9189200000001</v>
      </c>
      <c r="O374" s="1038">
        <v>119</v>
      </c>
      <c r="P374" s="1039"/>
      <c r="Q374" s="105">
        <v>0</v>
      </c>
    </row>
    <row r="375" spans="1:17" x14ac:dyDescent="0.35">
      <c r="A375" s="805" t="s">
        <v>91</v>
      </c>
      <c r="B375" s="807"/>
      <c r="C375" s="804"/>
      <c r="D375" s="105">
        <v>0</v>
      </c>
      <c r="E375" s="105">
        <v>44.3</v>
      </c>
      <c r="F375" s="1038">
        <v>11.9</v>
      </c>
      <c r="G375" s="1038"/>
      <c r="H375" s="1038"/>
      <c r="I375" s="1038">
        <v>55.25</v>
      </c>
      <c r="J375" s="1038"/>
      <c r="K375" s="72">
        <v>65.3</v>
      </c>
      <c r="L375" s="223">
        <f t="shared" si="14"/>
        <v>176.75</v>
      </c>
      <c r="M375" s="273">
        <f t="shared" si="15"/>
        <v>1902.519325</v>
      </c>
      <c r="O375" s="1038">
        <v>380.3</v>
      </c>
      <c r="P375" s="1039"/>
      <c r="Q375" s="105">
        <v>38.5</v>
      </c>
    </row>
    <row r="376" spans="1:17" x14ac:dyDescent="0.35">
      <c r="A376" s="805" t="s">
        <v>24</v>
      </c>
      <c r="B376" s="807"/>
      <c r="C376" s="804"/>
      <c r="D376" s="105">
        <v>0</v>
      </c>
      <c r="E376" s="105">
        <v>44.3</v>
      </c>
      <c r="F376" s="1038">
        <v>32</v>
      </c>
      <c r="G376" s="1038"/>
      <c r="H376" s="1038"/>
      <c r="I376" s="1038">
        <v>1345.7</v>
      </c>
      <c r="J376" s="1038"/>
      <c r="K376" s="72">
        <v>24.1</v>
      </c>
      <c r="L376" s="223">
        <f t="shared" si="14"/>
        <v>1446.1</v>
      </c>
      <c r="M376" s="273">
        <f t="shared" si="15"/>
        <v>15565.675789999998</v>
      </c>
      <c r="O376" s="1038">
        <v>40.6</v>
      </c>
      <c r="P376" s="1039"/>
      <c r="Q376" s="105">
        <v>210.5</v>
      </c>
    </row>
    <row r="377" spans="1:17" x14ac:dyDescent="0.35">
      <c r="A377" s="805" t="s">
        <v>25</v>
      </c>
      <c r="B377" s="807"/>
      <c r="C377" s="807"/>
      <c r="D377" s="268">
        <v>0</v>
      </c>
      <c r="E377" s="105">
        <v>0</v>
      </c>
      <c r="F377" s="1038">
        <v>0</v>
      </c>
      <c r="G377" s="1038"/>
      <c r="H377" s="1038"/>
      <c r="I377" s="1038">
        <v>219.4</v>
      </c>
      <c r="J377" s="1038"/>
      <c r="K377" s="72">
        <v>7.8</v>
      </c>
      <c r="L377" s="223">
        <f t="shared" si="14"/>
        <v>227.20000000000002</v>
      </c>
      <c r="M377" s="273">
        <f t="shared" si="15"/>
        <v>2445.5580800000002</v>
      </c>
      <c r="O377" s="1038">
        <v>97.5</v>
      </c>
      <c r="P377" s="1039"/>
      <c r="Q377" s="105">
        <v>61.1</v>
      </c>
    </row>
    <row r="378" spans="1:17" x14ac:dyDescent="0.35">
      <c r="A378" s="1066" t="s">
        <v>26</v>
      </c>
      <c r="B378" s="1067"/>
      <c r="C378" s="1068"/>
      <c r="D378" s="163">
        <v>0</v>
      </c>
      <c r="E378" s="163">
        <v>89.8</v>
      </c>
      <c r="F378" s="1035">
        <v>0</v>
      </c>
      <c r="G378" s="1035"/>
      <c r="H378" s="1035"/>
      <c r="I378" s="1035">
        <v>485.5</v>
      </c>
      <c r="J378" s="1035"/>
      <c r="K378" s="164">
        <v>42</v>
      </c>
      <c r="L378" s="223">
        <f t="shared" si="14"/>
        <v>617.29999999999995</v>
      </c>
      <c r="M378" s="274">
        <f t="shared" si="15"/>
        <v>6644.5554699999993</v>
      </c>
      <c r="O378" s="1035">
        <v>129.19999999999999</v>
      </c>
      <c r="P378" s="1036"/>
      <c r="Q378" s="163">
        <v>83.8</v>
      </c>
    </row>
    <row r="379" spans="1:17" x14ac:dyDescent="0.35">
      <c r="A379" s="1069" t="s">
        <v>36</v>
      </c>
      <c r="B379" s="1070"/>
      <c r="C379" s="1071"/>
      <c r="D379" s="223">
        <f>SUM(D371:D378)</f>
        <v>171.7</v>
      </c>
      <c r="E379" s="223">
        <f>SUM(E371:E378)</f>
        <v>254.5</v>
      </c>
      <c r="F379" s="1008">
        <f t="shared" ref="F379:L379" si="16">SUM(F371:F378)</f>
        <v>136.60000000000002</v>
      </c>
      <c r="G379" s="1008"/>
      <c r="H379" s="1008"/>
      <c r="I379" s="1008">
        <f t="shared" si="16"/>
        <v>2105.8500000000004</v>
      </c>
      <c r="J379" s="1008"/>
      <c r="K379" s="98">
        <f t="shared" si="16"/>
        <v>285.60000000000002</v>
      </c>
      <c r="L379" s="266">
        <f t="shared" si="16"/>
        <v>2954.25</v>
      </c>
      <c r="M379" s="275">
        <f>SUM(M371:M378)</f>
        <v>31799.251574999995</v>
      </c>
      <c r="O379" s="1008">
        <f>SUM(O371:O378)</f>
        <v>1076.7</v>
      </c>
      <c r="P379" s="1037"/>
      <c r="Q379" s="27">
        <f>SUM(Q371:Q378)</f>
        <v>415.1</v>
      </c>
    </row>
    <row r="380" spans="1:17" x14ac:dyDescent="0.35">
      <c r="K380" s="2"/>
      <c r="O380" s="224" t="s">
        <v>97</v>
      </c>
      <c r="P380" s="807">
        <f>SUM(O379:Q379)</f>
        <v>1491.8000000000002</v>
      </c>
      <c r="Q380" s="807"/>
    </row>
    <row r="381" spans="1:17" x14ac:dyDescent="0.35">
      <c r="A381" s="224" t="s">
        <v>94</v>
      </c>
      <c r="B381" s="224"/>
      <c r="C381" s="27"/>
      <c r="K381" s="2"/>
      <c r="O381" s="224" t="s">
        <v>116</v>
      </c>
      <c r="P381" s="1123">
        <f>SUM(P380*10.7639)</f>
        <v>16057.586020000001</v>
      </c>
      <c r="Q381" s="1123"/>
    </row>
    <row r="382" spans="1:17" x14ac:dyDescent="0.35">
      <c r="A382" s="27" t="s">
        <v>95</v>
      </c>
      <c r="C382" s="27">
        <v>8</v>
      </c>
      <c r="K382" s="2"/>
    </row>
    <row r="383" spans="1:17" x14ac:dyDescent="0.35">
      <c r="A383" s="27"/>
      <c r="C383" s="27"/>
      <c r="K383" s="2"/>
    </row>
    <row r="384" spans="1:17" x14ac:dyDescent="0.35">
      <c r="A384" s="27"/>
      <c r="C384" s="27"/>
      <c r="K384" s="2"/>
    </row>
    <row r="385" spans="1:19" x14ac:dyDescent="0.35">
      <c r="K385" s="2"/>
    </row>
    <row r="386" spans="1:19" ht="18" thickBot="1" x14ac:dyDescent="0.4">
      <c r="A386" s="941" t="s">
        <v>118</v>
      </c>
      <c r="B386" s="941"/>
      <c r="C386" s="941"/>
      <c r="D386" s="941"/>
      <c r="E386" s="941"/>
      <c r="F386" s="224"/>
      <c r="G386" s="224"/>
      <c r="H386" s="224"/>
      <c r="J386" s="224"/>
      <c r="K386" s="224"/>
      <c r="L386" s="224"/>
      <c r="M386" s="224"/>
      <c r="N386" s="224"/>
      <c r="O386" s="224"/>
    </row>
    <row r="387" spans="1:19" ht="27.75" customHeight="1" thickTop="1" x14ac:dyDescent="0.3">
      <c r="A387" s="1090" t="s">
        <v>92</v>
      </c>
      <c r="B387" s="1090"/>
      <c r="C387" s="1091"/>
      <c r="D387" s="240" t="s">
        <v>4</v>
      </c>
      <c r="E387" s="241" t="s">
        <v>18</v>
      </c>
      <c r="F387" s="249"/>
      <c r="G387" s="249"/>
      <c r="H387" s="249"/>
      <c r="J387" s="248"/>
      <c r="K387" s="247" t="s">
        <v>419</v>
      </c>
      <c r="L387" s="498" t="s">
        <v>420</v>
      </c>
      <c r="M387" s="498" t="s">
        <v>421</v>
      </c>
      <c r="N387" s="105"/>
      <c r="O387" s="105"/>
    </row>
    <row r="388" spans="1:19" x14ac:dyDescent="0.35">
      <c r="A388" s="1008" t="s">
        <v>93</v>
      </c>
      <c r="B388" s="1008"/>
      <c r="C388" s="1037"/>
      <c r="D388" s="242">
        <v>30.4</v>
      </c>
      <c r="E388" s="245">
        <f t="shared" ref="E388:E395" si="17">SUM(D388*10.674)</f>
        <v>324.4896</v>
      </c>
      <c r="F388" s="105"/>
      <c r="G388" s="105"/>
      <c r="H388" s="248"/>
      <c r="I388" s="27"/>
      <c r="J388" s="27"/>
      <c r="K388" s="290" t="s">
        <v>31</v>
      </c>
      <c r="L388" s="105">
        <v>171.7</v>
      </c>
      <c r="M388" s="250">
        <f>SUM(L388*10.7639)</f>
        <v>1848.1616299999998</v>
      </c>
      <c r="N388" s="105"/>
      <c r="O388" s="105"/>
    </row>
    <row r="389" spans="1:19" x14ac:dyDescent="0.35">
      <c r="A389" s="1084" t="s">
        <v>20</v>
      </c>
      <c r="B389" s="1084"/>
      <c r="C389" s="1085"/>
      <c r="D389" s="239">
        <v>24.6</v>
      </c>
      <c r="E389" s="246">
        <f t="shared" si="17"/>
        <v>262.5804</v>
      </c>
      <c r="F389" s="105"/>
      <c r="G389" s="105"/>
      <c r="H389" s="105"/>
      <c r="I389" s="27"/>
      <c r="J389" s="27"/>
      <c r="K389" s="290" t="s">
        <v>32</v>
      </c>
      <c r="L389" s="223">
        <v>254.5</v>
      </c>
      <c r="M389" s="250">
        <f t="shared" ref="M389:M392" si="18">SUM(L389*10.7639)</f>
        <v>2739.41255</v>
      </c>
      <c r="N389" s="223"/>
      <c r="O389" s="223"/>
    </row>
    <row r="390" spans="1:19" x14ac:dyDescent="0.35">
      <c r="A390" s="1084" t="s">
        <v>21</v>
      </c>
      <c r="B390" s="1084"/>
      <c r="C390" s="1085"/>
      <c r="D390" s="243">
        <v>0</v>
      </c>
      <c r="E390" s="252">
        <f t="shared" si="17"/>
        <v>0</v>
      </c>
      <c r="F390" s="223"/>
      <c r="G390" s="223"/>
      <c r="H390" s="223"/>
      <c r="I390" s="27"/>
      <c r="J390" s="27"/>
      <c r="K390" s="290" t="s">
        <v>33</v>
      </c>
      <c r="L390" s="223">
        <v>136.60000000000002</v>
      </c>
      <c r="M390" s="250">
        <f t="shared" si="18"/>
        <v>1470.3487400000001</v>
      </c>
      <c r="N390" s="223"/>
      <c r="O390" s="223"/>
    </row>
    <row r="391" spans="1:19" x14ac:dyDescent="0.35">
      <c r="A391" s="1084" t="s">
        <v>22</v>
      </c>
      <c r="B391" s="1084"/>
      <c r="C391" s="1085"/>
      <c r="D391" s="243">
        <v>0</v>
      </c>
      <c r="E391" s="252">
        <f t="shared" si="17"/>
        <v>0</v>
      </c>
      <c r="F391" s="223"/>
      <c r="G391" s="223"/>
      <c r="H391" s="223"/>
      <c r="I391" s="27"/>
      <c r="J391" s="27"/>
      <c r="K391" s="290" t="s">
        <v>90</v>
      </c>
      <c r="L391" s="223">
        <v>285.60000000000002</v>
      </c>
      <c r="M391" s="250">
        <f t="shared" si="18"/>
        <v>3074.16984</v>
      </c>
      <c r="N391" s="223"/>
      <c r="O391" s="223"/>
    </row>
    <row r="392" spans="1:19" x14ac:dyDescent="0.35">
      <c r="A392" s="1084" t="s">
        <v>91</v>
      </c>
      <c r="B392" s="1084"/>
      <c r="C392" s="1085"/>
      <c r="D392" s="243">
        <v>154.69999999999999</v>
      </c>
      <c r="E392" s="252">
        <f t="shared" si="17"/>
        <v>1651.2677999999999</v>
      </c>
      <c r="F392" s="223"/>
      <c r="G392" s="223"/>
      <c r="H392" s="223"/>
      <c r="I392" s="27"/>
      <c r="J392" s="27"/>
      <c r="K392" s="290" t="s">
        <v>34</v>
      </c>
      <c r="L392" s="223">
        <v>2105.8500000000004</v>
      </c>
      <c r="M392" s="250">
        <f t="shared" si="18"/>
        <v>22667.158815000003</v>
      </c>
      <c r="N392" s="223"/>
      <c r="O392" s="223"/>
    </row>
    <row r="393" spans="1:19" x14ac:dyDescent="0.35">
      <c r="A393" s="1084" t="s">
        <v>24</v>
      </c>
      <c r="B393" s="1084"/>
      <c r="C393" s="1085"/>
      <c r="D393" s="239">
        <v>0</v>
      </c>
      <c r="E393" s="252">
        <f t="shared" si="17"/>
        <v>0</v>
      </c>
      <c r="F393" s="223"/>
      <c r="G393" s="223"/>
      <c r="H393" s="223"/>
      <c r="I393" s="27"/>
      <c r="J393" s="27"/>
      <c r="L393" s="223"/>
      <c r="M393" s="223"/>
      <c r="N393" s="223"/>
      <c r="O393" s="223"/>
    </row>
    <row r="394" spans="1:19" x14ac:dyDescent="0.35">
      <c r="A394" s="1084" t="s">
        <v>25</v>
      </c>
      <c r="B394" s="1084"/>
      <c r="C394" s="1085"/>
      <c r="D394" s="243">
        <v>56</v>
      </c>
      <c r="E394" s="252">
        <f t="shared" si="17"/>
        <v>597.74399999999991</v>
      </c>
      <c r="F394" s="223"/>
      <c r="G394" s="223"/>
      <c r="H394" s="223"/>
      <c r="I394" s="27"/>
      <c r="J394" s="27"/>
      <c r="L394" s="223"/>
      <c r="M394" s="223"/>
      <c r="N394" s="223"/>
      <c r="O394" s="223"/>
    </row>
    <row r="395" spans="1:19" x14ac:dyDescent="0.35">
      <c r="A395" s="1086" t="s">
        <v>26</v>
      </c>
      <c r="B395" s="1086"/>
      <c r="C395" s="1087"/>
      <c r="D395" s="244">
        <v>193.5</v>
      </c>
      <c r="E395" s="253">
        <f t="shared" si="17"/>
        <v>2065.4189999999999</v>
      </c>
      <c r="F395" s="223"/>
      <c r="G395" s="223"/>
      <c r="H395" s="223"/>
      <c r="I395" s="27"/>
      <c r="J395" s="27"/>
      <c r="L395" s="223"/>
      <c r="M395" s="223"/>
      <c r="N395" s="223"/>
      <c r="O395" s="223"/>
    </row>
    <row r="396" spans="1:19" x14ac:dyDescent="0.35">
      <c r="A396" s="1054" t="s">
        <v>52</v>
      </c>
      <c r="B396" s="1054"/>
      <c r="C396" s="1055"/>
      <c r="D396" s="239">
        <f>SUM(D388:D395)</f>
        <v>459.2</v>
      </c>
      <c r="E396" s="246">
        <f>SUM(E388:E395)</f>
        <v>4901.5007999999998</v>
      </c>
      <c r="F396" s="223"/>
      <c r="G396" s="223"/>
      <c r="H396" s="223"/>
      <c r="I396" s="27"/>
      <c r="J396" s="247"/>
      <c r="K396" s="247"/>
      <c r="L396" s="223"/>
      <c r="M396" s="251"/>
      <c r="N396" s="223"/>
      <c r="O396" s="223"/>
    </row>
    <row r="397" spans="1:19" x14ac:dyDescent="0.35">
      <c r="A397" s="247"/>
      <c r="B397" s="247"/>
      <c r="C397" s="247"/>
      <c r="D397" s="223"/>
      <c r="E397" s="223"/>
      <c r="F397" s="223"/>
      <c r="G397" s="223"/>
      <c r="H397" s="223"/>
      <c r="I397" s="27"/>
    </row>
    <row r="398" spans="1:19" ht="16.5" x14ac:dyDescent="0.3">
      <c r="A398" s="221"/>
      <c r="B398" s="221"/>
      <c r="C398" s="221"/>
      <c r="K398" s="2"/>
    </row>
    <row r="399" spans="1:19" ht="16.5" x14ac:dyDescent="0.3">
      <c r="A399" s="221"/>
      <c r="B399" s="221"/>
      <c r="C399" s="221"/>
      <c r="K399" s="2"/>
    </row>
    <row r="400" spans="1:19" ht="17.25" customHeight="1" thickBot="1" x14ac:dyDescent="0.4">
      <c r="O400" s="314"/>
      <c r="P400" s="314"/>
      <c r="Q400" s="314"/>
      <c r="R400" s="314"/>
      <c r="S400" s="314"/>
    </row>
    <row r="401" spans="1:22" ht="18" customHeight="1" thickBot="1" x14ac:dyDescent="0.4">
      <c r="A401" s="1092" t="s">
        <v>98</v>
      </c>
      <c r="B401" s="1092"/>
      <c r="C401" s="1092"/>
      <c r="D401" s="1092"/>
      <c r="E401" s="1092"/>
      <c r="F401" s="1092"/>
      <c r="G401" s="1092"/>
      <c r="H401" s="1092"/>
      <c r="I401" s="236"/>
      <c r="J401" s="236"/>
      <c r="K401" s="222"/>
      <c r="N401" s="312"/>
      <c r="O401" s="795" t="s">
        <v>141</v>
      </c>
      <c r="P401" s="811"/>
      <c r="Q401" s="811"/>
      <c r="R401" s="811"/>
      <c r="S401" s="798"/>
      <c r="T401" s="290"/>
      <c r="U401" s="290"/>
      <c r="V401" s="290"/>
    </row>
    <row r="402" spans="1:22" ht="45.75" thickTop="1" x14ac:dyDescent="0.35">
      <c r="A402" s="1035" t="s">
        <v>92</v>
      </c>
      <c r="B402" s="1035"/>
      <c r="C402" s="1036"/>
      <c r="D402" s="225" t="s">
        <v>99</v>
      </c>
      <c r="E402" s="339" t="s">
        <v>142</v>
      </c>
      <c r="F402" s="1099" t="s">
        <v>100</v>
      </c>
      <c r="G402" s="1090"/>
      <c r="H402" s="1100"/>
      <c r="I402" s="257" t="s">
        <v>110</v>
      </c>
      <c r="J402" s="258" t="s">
        <v>111</v>
      </c>
      <c r="K402" s="254" t="s">
        <v>112</v>
      </c>
      <c r="L402" s="163" t="s">
        <v>109</v>
      </c>
      <c r="M402" s="163" t="s">
        <v>108</v>
      </c>
      <c r="N402" s="312"/>
      <c r="O402" s="310"/>
      <c r="P402" s="311" t="s">
        <v>137</v>
      </c>
      <c r="Q402" s="318" t="s">
        <v>138</v>
      </c>
      <c r="R402" s="319" t="s">
        <v>135</v>
      </c>
      <c r="S402" s="315" t="s">
        <v>136</v>
      </c>
      <c r="T402" s="290"/>
      <c r="U402" s="290"/>
      <c r="V402" s="290"/>
    </row>
    <row r="403" spans="1:22" ht="17.25" customHeight="1" x14ac:dyDescent="0.35">
      <c r="A403" s="1008" t="s">
        <v>93</v>
      </c>
      <c r="B403" s="1008"/>
      <c r="C403" s="1037"/>
      <c r="D403" s="226">
        <v>48</v>
      </c>
      <c r="E403" s="226">
        <v>0</v>
      </c>
      <c r="F403" s="847">
        <v>0</v>
      </c>
      <c r="G403" s="1008"/>
      <c r="H403" s="848"/>
      <c r="I403" s="259">
        <f>SUM('Block By Block SoA'!J6+'Block By Block SoA'!J7)</f>
        <v>2</v>
      </c>
      <c r="J403" s="260" cm="1">
        <f t="array" ref="J403">SUM('Block By Block SoA'!K6:N6+'Block By Block SoA'!K7:N7)</f>
        <v>23</v>
      </c>
      <c r="K403" s="255">
        <f>SUM((J403*2)+I403)</f>
        <v>48</v>
      </c>
      <c r="L403" s="233" t="str">
        <f t="shared" ref="L403:L410" si="19">IF(D403&gt;K403,"Higher","Lower")</f>
        <v>Lower</v>
      </c>
      <c r="M403" s="27">
        <f t="shared" ref="M403:M410" si="20">SUM(D403-K403)</f>
        <v>0</v>
      </c>
      <c r="N403" s="312"/>
      <c r="O403" s="1045" t="s">
        <v>130</v>
      </c>
      <c r="P403" s="327" t="s">
        <v>28</v>
      </c>
      <c r="Q403" s="328">
        <f>SUM(X7:Z7)</f>
        <v>139</v>
      </c>
      <c r="R403" s="329">
        <v>0.75</v>
      </c>
      <c r="S403" s="330">
        <f>SUM(Q403*R403)</f>
        <v>104.25</v>
      </c>
      <c r="T403" s="290"/>
      <c r="U403" s="290"/>
      <c r="V403" s="290"/>
    </row>
    <row r="404" spans="1:22" x14ac:dyDescent="0.35">
      <c r="A404" s="805" t="s">
        <v>20</v>
      </c>
      <c r="B404" s="807"/>
      <c r="C404" s="804"/>
      <c r="D404" s="36">
        <v>16</v>
      </c>
      <c r="E404" s="36">
        <v>0</v>
      </c>
      <c r="F404" s="805">
        <v>0</v>
      </c>
      <c r="G404" s="807"/>
      <c r="H404" s="806"/>
      <c r="I404" s="261">
        <f>SUM('Block By Block SoA'!J8)</f>
        <v>1</v>
      </c>
      <c r="J404" s="260">
        <f>SUM('Block By Block SoA'!K8:N8)</f>
        <v>16</v>
      </c>
      <c r="K404" s="255">
        <f t="shared" ref="K404:K410" si="21">SUM((J404*2)+I404)</f>
        <v>33</v>
      </c>
      <c r="L404" s="233" t="str">
        <f t="shared" si="19"/>
        <v>Lower</v>
      </c>
      <c r="M404" s="27">
        <f t="shared" si="20"/>
        <v>-17</v>
      </c>
      <c r="N404" s="312"/>
      <c r="O404" s="1045"/>
      <c r="P404" s="331" t="s">
        <v>29</v>
      </c>
      <c r="Q404" s="332">
        <f>SUM(X8:Z8)</f>
        <v>49</v>
      </c>
      <c r="R404" s="333">
        <v>1</v>
      </c>
      <c r="S404" s="334">
        <f>SUM(Q404*R404)</f>
        <v>49</v>
      </c>
      <c r="T404" s="290"/>
      <c r="U404" s="290"/>
      <c r="V404" s="290"/>
    </row>
    <row r="405" spans="1:22" x14ac:dyDescent="0.35">
      <c r="A405" s="805" t="s">
        <v>21</v>
      </c>
      <c r="B405" s="807"/>
      <c r="C405" s="804"/>
      <c r="D405" s="36">
        <v>23</v>
      </c>
      <c r="E405" s="36">
        <v>2</v>
      </c>
      <c r="F405" s="805">
        <v>2</v>
      </c>
      <c r="G405" s="807"/>
      <c r="H405" s="806"/>
      <c r="I405" s="261">
        <f>SUM('Block By Block SoA'!J14)</f>
        <v>0</v>
      </c>
      <c r="J405" s="260">
        <f>SUM('Block By Block SoA'!K14:N14)</f>
        <v>27</v>
      </c>
      <c r="K405" s="255">
        <f t="shared" si="21"/>
        <v>54</v>
      </c>
      <c r="L405" s="233" t="str">
        <f t="shared" si="19"/>
        <v>Lower</v>
      </c>
      <c r="M405" s="27">
        <f t="shared" si="20"/>
        <v>-31</v>
      </c>
      <c r="N405" s="313"/>
      <c r="O405" s="1046"/>
      <c r="P405" s="320" t="s">
        <v>133</v>
      </c>
      <c r="Q405" s="320">
        <f>SUM(X9:Z9)</f>
        <v>22</v>
      </c>
      <c r="R405" s="254">
        <v>2</v>
      </c>
      <c r="S405" s="321">
        <f>SUM(Q405*R405)</f>
        <v>44</v>
      </c>
      <c r="T405" s="290"/>
      <c r="U405" s="290"/>
      <c r="V405" s="290"/>
    </row>
    <row r="406" spans="1:22" ht="18" thickBot="1" x14ac:dyDescent="0.4">
      <c r="A406" s="805" t="s">
        <v>22</v>
      </c>
      <c r="B406" s="807"/>
      <c r="C406" s="807"/>
      <c r="D406" s="36">
        <v>26</v>
      </c>
      <c r="E406" s="36">
        <v>9</v>
      </c>
      <c r="F406" s="805">
        <v>6</v>
      </c>
      <c r="G406" s="807"/>
      <c r="H406" s="806"/>
      <c r="I406" s="261">
        <f>COUNTA(L102:L129)</f>
        <v>0</v>
      </c>
      <c r="J406" s="260">
        <f>COUNTA(M100:O129)</f>
        <v>20</v>
      </c>
      <c r="K406" s="255">
        <f t="shared" si="21"/>
        <v>40</v>
      </c>
      <c r="L406" s="233" t="str">
        <f t="shared" si="19"/>
        <v>Lower</v>
      </c>
      <c r="M406" s="27">
        <f t="shared" si="20"/>
        <v>-14</v>
      </c>
      <c r="N406" s="313"/>
      <c r="O406" s="1048" t="s">
        <v>134</v>
      </c>
      <c r="P406" s="1049"/>
      <c r="Q406" s="325" cm="1">
        <f t="array" ref="Q406">SUM(Q403:Q405/5)</f>
        <v>42</v>
      </c>
      <c r="R406" s="326">
        <v>1</v>
      </c>
      <c r="S406" s="317">
        <f>Q406</f>
        <v>42</v>
      </c>
      <c r="T406" s="290"/>
      <c r="U406" s="290"/>
      <c r="V406" s="290"/>
    </row>
    <row r="407" spans="1:22" x14ac:dyDescent="0.35">
      <c r="A407" s="805" t="s">
        <v>91</v>
      </c>
      <c r="B407" s="807"/>
      <c r="C407" s="804"/>
      <c r="D407" s="36">
        <v>48</v>
      </c>
      <c r="E407" s="36">
        <v>11</v>
      </c>
      <c r="F407" s="805">
        <v>0</v>
      </c>
      <c r="G407" s="807"/>
      <c r="H407" s="806"/>
      <c r="I407" s="261">
        <f>SUM('Block By Block SoA'!J9+'Block By Block SoA'!J11)</f>
        <v>13</v>
      </c>
      <c r="J407" s="260" cm="1">
        <f t="array" ref="J407">SUM('Block By Block SoA'!K11:N11+'Block By Block SoA'!K9:N9)</f>
        <v>50</v>
      </c>
      <c r="K407" s="255">
        <f t="shared" si="21"/>
        <v>113</v>
      </c>
      <c r="L407" s="233" t="str">
        <f t="shared" si="19"/>
        <v>Lower</v>
      </c>
      <c r="M407" s="27">
        <f t="shared" si="20"/>
        <v>-65</v>
      </c>
      <c r="N407" s="313"/>
      <c r="O407" s="1045" t="s">
        <v>132</v>
      </c>
      <c r="P407" s="335" t="s">
        <v>28</v>
      </c>
      <c r="Q407" s="336">
        <f>SUM(V7)</f>
        <v>0</v>
      </c>
      <c r="R407" s="337">
        <v>1</v>
      </c>
      <c r="S407" s="338">
        <f>SUM(Q407*R407)</f>
        <v>0</v>
      </c>
      <c r="T407" s="290"/>
      <c r="U407" s="290"/>
      <c r="V407" s="290"/>
    </row>
    <row r="408" spans="1:22" x14ac:dyDescent="0.35">
      <c r="A408" s="805" t="s">
        <v>24</v>
      </c>
      <c r="B408" s="807"/>
      <c r="C408" s="804"/>
      <c r="D408" s="36">
        <v>26</v>
      </c>
      <c r="E408" s="36">
        <v>26</v>
      </c>
      <c r="F408" s="805">
        <v>0</v>
      </c>
      <c r="G408" s="807"/>
      <c r="H408" s="806"/>
      <c r="I408" s="261">
        <f>SUM('Block By Block SoA'!J10)</f>
        <v>69</v>
      </c>
      <c r="J408" s="260">
        <f>SUM('Block By Block SoA'!K10:N10)</f>
        <v>13</v>
      </c>
      <c r="K408" s="255">
        <f t="shared" si="21"/>
        <v>95</v>
      </c>
      <c r="L408" s="233" t="str">
        <f t="shared" si="19"/>
        <v>Lower</v>
      </c>
      <c r="M408" s="27">
        <f t="shared" si="20"/>
        <v>-69</v>
      </c>
      <c r="N408" s="313"/>
      <c r="O408" s="1045"/>
      <c r="P408" s="331" t="s">
        <v>29</v>
      </c>
      <c r="Q408" s="332">
        <f>SUM(V8)</f>
        <v>44</v>
      </c>
      <c r="R408" s="333">
        <v>1</v>
      </c>
      <c r="S408" s="334">
        <f>SUM(Q408*R408)</f>
        <v>44</v>
      </c>
      <c r="T408" s="290"/>
      <c r="U408" s="290"/>
      <c r="V408" s="290"/>
    </row>
    <row r="409" spans="1:22" x14ac:dyDescent="0.35">
      <c r="A409" s="805" t="s">
        <v>25</v>
      </c>
      <c r="B409" s="807"/>
      <c r="C409" s="807"/>
      <c r="D409" s="36">
        <v>0</v>
      </c>
      <c r="E409" s="36">
        <v>4</v>
      </c>
      <c r="F409" s="805">
        <v>0</v>
      </c>
      <c r="G409" s="807"/>
      <c r="H409" s="806"/>
      <c r="I409" s="261">
        <f>'Block By Block SoA'!J12</f>
        <v>14</v>
      </c>
      <c r="J409" s="260">
        <f>COUNTA(M130:O139,M178:O193)</f>
        <v>16</v>
      </c>
      <c r="K409" s="255">
        <f t="shared" si="21"/>
        <v>46</v>
      </c>
      <c r="L409" s="233" t="str">
        <f t="shared" si="19"/>
        <v>Lower</v>
      </c>
      <c r="M409" s="27">
        <f t="shared" si="20"/>
        <v>-46</v>
      </c>
      <c r="N409" s="313"/>
      <c r="O409" s="1045"/>
      <c r="P409" s="331" t="s">
        <v>30</v>
      </c>
      <c r="Q409" s="332">
        <f>SUM(V9)</f>
        <v>47</v>
      </c>
      <c r="R409" s="333">
        <v>2</v>
      </c>
      <c r="S409" s="334">
        <f>SUM(Q409*R409)</f>
        <v>94</v>
      </c>
      <c r="T409" s="290"/>
      <c r="U409" s="290"/>
      <c r="V409" s="290"/>
    </row>
    <row r="410" spans="1:22" ht="18" thickBot="1" x14ac:dyDescent="0.4">
      <c r="A410" s="1066" t="s">
        <v>26</v>
      </c>
      <c r="B410" s="1067"/>
      <c r="C410" s="1068"/>
      <c r="D410" s="227">
        <v>124</v>
      </c>
      <c r="E410" s="225">
        <v>20</v>
      </c>
      <c r="F410" s="1101">
        <v>0</v>
      </c>
      <c r="G410" s="1035"/>
      <c r="H410" s="1102"/>
      <c r="I410" s="262">
        <f>SUM('Block By Block SoA'!J13)</f>
        <v>40</v>
      </c>
      <c r="J410" s="263">
        <f>SUM('Block By Block SoA'!K13:N13)</f>
        <v>13</v>
      </c>
      <c r="K410" s="254">
        <f t="shared" si="21"/>
        <v>66</v>
      </c>
      <c r="L410" s="264" t="str">
        <f t="shared" si="19"/>
        <v>Higher</v>
      </c>
      <c r="M410" s="237">
        <f t="shared" si="20"/>
        <v>58</v>
      </c>
      <c r="N410" s="312"/>
      <c r="O410" s="1047"/>
      <c r="P410" s="322" t="s">
        <v>62</v>
      </c>
      <c r="Q410" s="322">
        <f>SUM(V10)</f>
        <v>13</v>
      </c>
      <c r="R410" s="323">
        <v>2</v>
      </c>
      <c r="S410" s="324">
        <f>SUM(Q410*R410)</f>
        <v>26</v>
      </c>
      <c r="T410" s="290"/>
      <c r="U410" s="290"/>
      <c r="V410" s="290"/>
    </row>
    <row r="411" spans="1:22" ht="39" customHeight="1" x14ac:dyDescent="0.35">
      <c r="A411" s="1054" t="s">
        <v>103</v>
      </c>
      <c r="B411" s="1054"/>
      <c r="C411" s="1055"/>
      <c r="D411" s="231">
        <f>SUM(D403:D410)</f>
        <v>311</v>
      </c>
      <c r="E411" s="1041">
        <f>SUM(E403:E410)</f>
        <v>72</v>
      </c>
      <c r="F411" s="1061">
        <f>SUM(F403:H410)</f>
        <v>8</v>
      </c>
      <c r="G411" s="1022"/>
      <c r="H411" s="1062"/>
      <c r="I411" s="1095">
        <f>SUM(I403:I410)</f>
        <v>139</v>
      </c>
      <c r="J411" s="1097">
        <f>SUM(J403:J410)</f>
        <v>178</v>
      </c>
      <c r="K411" s="1093">
        <f>SUM(K403:K410)</f>
        <v>495</v>
      </c>
      <c r="L411" s="238" t="s">
        <v>115</v>
      </c>
      <c r="M411" s="233">
        <f>SUM(M403:M410)</f>
        <v>-184</v>
      </c>
      <c r="N411" s="312"/>
      <c r="O411" s="1023" t="s">
        <v>139</v>
      </c>
      <c r="P411" s="1023"/>
      <c r="Q411" s="1023"/>
      <c r="R411" s="1040"/>
      <c r="S411" s="316">
        <f>SUM(S403:S405,S407:S410)</f>
        <v>361.25</v>
      </c>
      <c r="U411" s="290"/>
      <c r="V411" s="290"/>
    </row>
    <row r="412" spans="1:22" ht="24.75" customHeight="1" thickBot="1" x14ac:dyDescent="0.35">
      <c r="A412" s="1082" t="s">
        <v>104</v>
      </c>
      <c r="B412" s="1082"/>
      <c r="C412" s="1083"/>
      <c r="D412" s="230">
        <v>184</v>
      </c>
      <c r="E412" s="1060"/>
      <c r="F412" s="1063"/>
      <c r="G412" s="1064"/>
      <c r="H412" s="1065"/>
      <c r="I412" s="1096"/>
      <c r="J412" s="1098"/>
      <c r="K412" s="1094"/>
      <c r="L412" s="1077" t="s">
        <v>114</v>
      </c>
      <c r="M412" s="1038">
        <f>SUM(M411+D412)</f>
        <v>0</v>
      </c>
      <c r="N412" s="312"/>
      <c r="O412" s="1050" t="s">
        <v>140</v>
      </c>
      <c r="P412" s="1051"/>
      <c r="Q412" s="1051"/>
      <c r="R412" s="1051"/>
      <c r="S412" s="1121">
        <f>SUM(S403:S410)</f>
        <v>403.25</v>
      </c>
    </row>
    <row r="413" spans="1:22" ht="16.5" customHeight="1" thickBot="1" x14ac:dyDescent="0.4">
      <c r="A413" s="1081" t="s">
        <v>102</v>
      </c>
      <c r="B413" s="1079"/>
      <c r="C413" s="1079"/>
      <c r="D413" s="229">
        <f>SUM(D411+D412)</f>
        <v>495</v>
      </c>
      <c r="E413" s="228" t="s">
        <v>101</v>
      </c>
      <c r="F413" s="1078">
        <f>SUM(E411:H411)</f>
        <v>80</v>
      </c>
      <c r="G413" s="1079"/>
      <c r="H413" s="1080"/>
      <c r="I413" s="265" t="s">
        <v>113</v>
      </c>
      <c r="J413" s="256" cm="1">
        <f t="array" ref="J413">SUM(J403:J410+I403:I410)</f>
        <v>317</v>
      </c>
      <c r="K413" s="1094"/>
      <c r="L413" s="1077"/>
      <c r="M413" s="1038"/>
      <c r="N413" s="312"/>
      <c r="O413" s="1027"/>
      <c r="P413" s="1052"/>
      <c r="Q413" s="1052"/>
      <c r="R413" s="1052"/>
      <c r="S413" s="1122"/>
    </row>
    <row r="414" spans="1:22" ht="16.5" customHeight="1" x14ac:dyDescent="0.35"/>
    <row r="415" spans="1:22" ht="16.5" customHeight="1" x14ac:dyDescent="0.35">
      <c r="A415" s="1057" t="s">
        <v>105</v>
      </c>
      <c r="B415" s="1057"/>
      <c r="C415" s="1057"/>
      <c r="D415" s="233" cm="1">
        <f t="array" ref="D415">SUM(M364:O364*2)+L364</f>
        <v>495</v>
      </c>
      <c r="O415" s="290" t="s">
        <v>131</v>
      </c>
    </row>
    <row r="416" spans="1:22" ht="16.5" customHeight="1" x14ac:dyDescent="0.35">
      <c r="A416" s="1056" t="s">
        <v>106</v>
      </c>
      <c r="B416" s="1056"/>
      <c r="C416" s="1056"/>
      <c r="D416" s="1056"/>
    </row>
    <row r="417" spans="1:20" ht="16.5" customHeight="1" x14ac:dyDescent="0.35">
      <c r="K417" s="2"/>
    </row>
    <row r="418" spans="1:20" ht="16.5" customHeight="1" x14ac:dyDescent="0.35">
      <c r="A418" s="27"/>
      <c r="C418" s="27"/>
    </row>
    <row r="419" spans="1:20" ht="16.5" customHeight="1" thickBot="1" x14ac:dyDescent="0.4">
      <c r="A419" s="941" t="s">
        <v>161</v>
      </c>
      <c r="B419" s="941"/>
      <c r="C419" s="941"/>
      <c r="D419" s="941"/>
      <c r="E419" s="941"/>
      <c r="F419" s="941"/>
      <c r="G419" s="941"/>
      <c r="H419" s="941"/>
      <c r="I419" s="941"/>
      <c r="J419" s="941"/>
      <c r="K419" s="941"/>
      <c r="L419" s="941"/>
      <c r="M419" s="941"/>
      <c r="N419" s="941"/>
      <c r="O419" s="941"/>
    </row>
    <row r="420" spans="1:20" ht="68.25" customHeight="1" thickTop="1" x14ac:dyDescent="0.3">
      <c r="A420" s="340"/>
      <c r="B420" s="594" t="s">
        <v>323</v>
      </c>
      <c r="C420" s="347" t="s">
        <v>224</v>
      </c>
      <c r="D420" s="595" t="s">
        <v>152</v>
      </c>
      <c r="E420" s="595" t="s">
        <v>153</v>
      </c>
      <c r="F420" s="595" t="s">
        <v>154</v>
      </c>
      <c r="G420" s="595" t="s">
        <v>155</v>
      </c>
      <c r="H420" s="595" t="s">
        <v>156</v>
      </c>
      <c r="I420" s="351" t="s">
        <v>157</v>
      </c>
      <c r="J420" s="595" t="s">
        <v>158</v>
      </c>
      <c r="K420" s="595" t="s">
        <v>63</v>
      </c>
      <c r="L420" s="595" t="s">
        <v>159</v>
      </c>
      <c r="M420" s="596" t="s">
        <v>160</v>
      </c>
      <c r="N420" s="1088" t="s">
        <v>162</v>
      </c>
      <c r="O420" s="1089"/>
    </row>
    <row r="421" spans="1:20" ht="16.5" x14ac:dyDescent="0.3">
      <c r="A421" s="342" t="s">
        <v>143</v>
      </c>
      <c r="B421" s="344" t="s">
        <v>79</v>
      </c>
      <c r="C421" s="348" t="s">
        <v>79</v>
      </c>
      <c r="D421" s="348" t="s">
        <v>79</v>
      </c>
      <c r="E421" s="348" t="s">
        <v>79</v>
      </c>
      <c r="F421" s="348">
        <v>62.9</v>
      </c>
      <c r="G421" s="348" t="s">
        <v>79</v>
      </c>
      <c r="H421" s="348" t="s">
        <v>79</v>
      </c>
      <c r="I421" s="352" t="s">
        <v>79</v>
      </c>
      <c r="J421" s="348" t="s">
        <v>79</v>
      </c>
      <c r="K421" s="348" t="s">
        <v>79</v>
      </c>
      <c r="L421" s="348" t="s">
        <v>79</v>
      </c>
      <c r="M421" s="342" t="s">
        <v>79</v>
      </c>
      <c r="N421" s="1053">
        <f t="shared" ref="N421:N428" si="22">SUM(B421:M421)</f>
        <v>62.9</v>
      </c>
      <c r="O421" s="1054"/>
      <c r="Q421" s="105"/>
      <c r="R421" s="105"/>
    </row>
    <row r="422" spans="1:20" ht="16.5" x14ac:dyDescent="0.3">
      <c r="A422" s="342" t="s">
        <v>144</v>
      </c>
      <c r="B422" s="344">
        <v>913.5</v>
      </c>
      <c r="C422" s="598">
        <v>2335.1</v>
      </c>
      <c r="D422" s="348">
        <v>466.65</v>
      </c>
      <c r="E422" s="348">
        <v>182.7</v>
      </c>
      <c r="F422" s="348">
        <v>1050.4000000000001</v>
      </c>
      <c r="G422" s="348">
        <v>689.3</v>
      </c>
      <c r="H422" s="348">
        <v>462.5</v>
      </c>
      <c r="I422" s="592">
        <v>571.5</v>
      </c>
      <c r="J422" s="348" t="s">
        <v>79</v>
      </c>
      <c r="K422" s="348" t="s">
        <v>79</v>
      </c>
      <c r="L422" s="348" t="s">
        <v>79</v>
      </c>
      <c r="M422" s="342" t="s">
        <v>79</v>
      </c>
      <c r="N422" s="1043">
        <f t="shared" si="22"/>
        <v>6671.6500000000005</v>
      </c>
      <c r="O422" s="1044"/>
      <c r="Q422" s="105"/>
      <c r="R422" s="235"/>
    </row>
    <row r="423" spans="1:20" ht="16.5" x14ac:dyDescent="0.3">
      <c r="A423" s="342" t="s">
        <v>145</v>
      </c>
      <c r="B423" s="344" t="s">
        <v>79</v>
      </c>
      <c r="C423" s="348" t="s">
        <v>79</v>
      </c>
      <c r="D423" s="348" t="s">
        <v>79</v>
      </c>
      <c r="E423" s="348" t="s">
        <v>79</v>
      </c>
      <c r="F423" s="348" t="s">
        <v>79</v>
      </c>
      <c r="G423" s="348" t="s">
        <v>79</v>
      </c>
      <c r="H423" s="348" t="s">
        <v>79</v>
      </c>
      <c r="I423" s="352" t="s">
        <v>79</v>
      </c>
      <c r="J423" s="348">
        <v>191.4</v>
      </c>
      <c r="K423" s="348">
        <v>224.5</v>
      </c>
      <c r="L423" s="348">
        <v>132</v>
      </c>
      <c r="M423" s="342" t="s">
        <v>79</v>
      </c>
      <c r="N423" s="1043">
        <f t="shared" si="22"/>
        <v>547.9</v>
      </c>
      <c r="O423" s="1044"/>
      <c r="Q423" s="233"/>
      <c r="R423" s="235"/>
    </row>
    <row r="424" spans="1:20" ht="16.5" x14ac:dyDescent="0.3">
      <c r="A424" s="342" t="s">
        <v>146</v>
      </c>
      <c r="B424" s="344" t="s">
        <v>79</v>
      </c>
      <c r="C424" s="348" t="s">
        <v>79</v>
      </c>
      <c r="D424" s="348" t="s">
        <v>79</v>
      </c>
      <c r="E424" s="348" t="s">
        <v>79</v>
      </c>
      <c r="F424" s="348" t="s">
        <v>79</v>
      </c>
      <c r="G424" s="348" t="s">
        <v>79</v>
      </c>
      <c r="H424" s="348" t="s">
        <v>79</v>
      </c>
      <c r="I424" s="352" t="s">
        <v>79</v>
      </c>
      <c r="J424" s="348">
        <v>115.7</v>
      </c>
      <c r="K424" s="348">
        <v>625.4</v>
      </c>
      <c r="L424" s="348">
        <v>198.7</v>
      </c>
      <c r="M424" s="342" t="s">
        <v>79</v>
      </c>
      <c r="N424" s="1043">
        <f t="shared" si="22"/>
        <v>939.8</v>
      </c>
      <c r="O424" s="1044"/>
      <c r="Q424" s="105"/>
      <c r="R424" s="235"/>
    </row>
    <row r="425" spans="1:20" ht="16.5" x14ac:dyDescent="0.3">
      <c r="A425" s="342" t="s">
        <v>147</v>
      </c>
      <c r="B425" s="344" t="s">
        <v>79</v>
      </c>
      <c r="C425" s="348" t="s">
        <v>79</v>
      </c>
      <c r="D425" s="348" t="s">
        <v>79</v>
      </c>
      <c r="E425" s="348" t="s">
        <v>79</v>
      </c>
      <c r="F425" s="348" t="s">
        <v>79</v>
      </c>
      <c r="G425" s="348" t="s">
        <v>79</v>
      </c>
      <c r="H425" s="348" t="s">
        <v>79</v>
      </c>
      <c r="I425" s="352" t="s">
        <v>79</v>
      </c>
      <c r="J425" s="348">
        <v>74.400000000000006</v>
      </c>
      <c r="K425" s="348">
        <v>75</v>
      </c>
      <c r="L425" s="348">
        <v>23.4</v>
      </c>
      <c r="M425" s="342" t="s">
        <v>79</v>
      </c>
      <c r="N425" s="1043">
        <f t="shared" si="22"/>
        <v>172.8</v>
      </c>
      <c r="O425" s="1044"/>
      <c r="Q425" s="105"/>
      <c r="R425" s="235"/>
    </row>
    <row r="426" spans="1:20" x14ac:dyDescent="0.35">
      <c r="A426" s="342" t="s">
        <v>148</v>
      </c>
      <c r="B426" s="344" t="s">
        <v>79</v>
      </c>
      <c r="C426" s="348" t="s">
        <v>79</v>
      </c>
      <c r="D426" s="348" t="s">
        <v>79</v>
      </c>
      <c r="E426" s="348" t="s">
        <v>79</v>
      </c>
      <c r="F426" s="348" t="s">
        <v>79</v>
      </c>
      <c r="G426" s="348" t="s">
        <v>79</v>
      </c>
      <c r="H426" s="348" t="s">
        <v>79</v>
      </c>
      <c r="I426" s="352" t="s">
        <v>79</v>
      </c>
      <c r="J426" s="348">
        <v>60.1</v>
      </c>
      <c r="K426" s="348">
        <v>25.9</v>
      </c>
      <c r="L426" s="348" t="s">
        <v>79</v>
      </c>
      <c r="M426" s="342" t="s">
        <v>79</v>
      </c>
      <c r="N426" s="1043">
        <f t="shared" si="22"/>
        <v>86</v>
      </c>
      <c r="O426" s="1044"/>
      <c r="Q426" s="498"/>
      <c r="R426" s="593"/>
      <c r="S426" s="290" t="s">
        <v>4</v>
      </c>
      <c r="T426" s="290" t="s">
        <v>273</v>
      </c>
    </row>
    <row r="427" spans="1:20" x14ac:dyDescent="0.35">
      <c r="A427" s="342" t="s">
        <v>149</v>
      </c>
      <c r="B427" s="344" t="s">
        <v>79</v>
      </c>
      <c r="C427" s="348" t="s">
        <v>79</v>
      </c>
      <c r="D427" s="348" t="s">
        <v>79</v>
      </c>
      <c r="E427" s="348" t="s">
        <v>79</v>
      </c>
      <c r="F427" s="348" t="s">
        <v>79</v>
      </c>
      <c r="G427" s="348" t="s">
        <v>79</v>
      </c>
      <c r="H427" s="348" t="s">
        <v>79</v>
      </c>
      <c r="I427" s="352" t="s">
        <v>79</v>
      </c>
      <c r="J427" s="348">
        <v>7.6</v>
      </c>
      <c r="K427" s="348" t="s">
        <v>222</v>
      </c>
      <c r="L427" s="348">
        <v>7.3</v>
      </c>
      <c r="M427" s="342" t="s">
        <v>79</v>
      </c>
      <c r="N427" s="1043">
        <f t="shared" si="22"/>
        <v>14.899999999999999</v>
      </c>
      <c r="O427" s="1044"/>
      <c r="Q427" s="791" t="s">
        <v>321</v>
      </c>
      <c r="R427" s="791"/>
      <c r="S427" s="290">
        <f>SUM(N429-C422-I422)</f>
        <v>6187.1499999999978</v>
      </c>
      <c r="T427" s="290">
        <f>SUM(S427*10.674)</f>
        <v>66041.639099999971</v>
      </c>
    </row>
    <row r="428" spans="1:20" x14ac:dyDescent="0.35">
      <c r="A428" s="320" t="s">
        <v>150</v>
      </c>
      <c r="B428" s="345" t="s">
        <v>79</v>
      </c>
      <c r="C428" s="349" t="s">
        <v>79</v>
      </c>
      <c r="D428" s="349" t="s">
        <v>79</v>
      </c>
      <c r="E428" s="349" t="s">
        <v>79</v>
      </c>
      <c r="F428" s="349" t="s">
        <v>79</v>
      </c>
      <c r="G428" s="349" t="s">
        <v>79</v>
      </c>
      <c r="H428" s="349" t="s">
        <v>79</v>
      </c>
      <c r="I428" s="353" t="s">
        <v>79</v>
      </c>
      <c r="J428" s="349" t="s">
        <v>79</v>
      </c>
      <c r="K428" s="349" t="s">
        <v>79</v>
      </c>
      <c r="L428" s="349" t="s">
        <v>79</v>
      </c>
      <c r="M428" s="320">
        <v>597.79999999999995</v>
      </c>
      <c r="N428" s="1043">
        <f t="shared" si="22"/>
        <v>597.79999999999995</v>
      </c>
      <c r="O428" s="1044"/>
      <c r="Q428" s="1129" t="s">
        <v>320</v>
      </c>
      <c r="R428" s="1129"/>
      <c r="S428" s="597">
        <f>SUM(S427/L366)</f>
        <v>19.517823343848573</v>
      </c>
      <c r="T428" s="597">
        <f>SUM(S428*10.674)</f>
        <v>208.33324637223964</v>
      </c>
    </row>
    <row r="429" spans="1:20" x14ac:dyDescent="0.35">
      <c r="A429" s="233" t="s">
        <v>162</v>
      </c>
      <c r="B429" s="346">
        <f>SUM(B421:B428)</f>
        <v>913.5</v>
      </c>
      <c r="C429" s="350">
        <f>SUM(C421:C428)</f>
        <v>2335.1</v>
      </c>
      <c r="D429" s="350">
        <f t="shared" ref="D429:M429" si="23">SUM(D421:D428)</f>
        <v>466.65</v>
      </c>
      <c r="E429" s="350">
        <f t="shared" si="23"/>
        <v>182.7</v>
      </c>
      <c r="F429" s="350">
        <f t="shared" si="23"/>
        <v>1113.3000000000002</v>
      </c>
      <c r="G429" s="350">
        <f t="shared" si="23"/>
        <v>689.3</v>
      </c>
      <c r="H429" s="350">
        <f t="shared" si="23"/>
        <v>462.5</v>
      </c>
      <c r="I429" s="354">
        <f t="shared" si="23"/>
        <v>571.5</v>
      </c>
      <c r="J429" s="350">
        <f t="shared" si="23"/>
        <v>449.20000000000005</v>
      </c>
      <c r="K429" s="350">
        <f t="shared" si="23"/>
        <v>950.8</v>
      </c>
      <c r="L429" s="350">
        <f t="shared" si="23"/>
        <v>361.4</v>
      </c>
      <c r="M429" s="221">
        <f t="shared" si="23"/>
        <v>597.79999999999995</v>
      </c>
      <c r="N429" s="1053">
        <f>SUM(N421:O428)</f>
        <v>9093.7499999999982</v>
      </c>
      <c r="O429" s="1054"/>
      <c r="Q429" s="1128"/>
      <c r="R429" s="1128"/>
      <c r="S429" s="290"/>
    </row>
    <row r="430" spans="1:20" x14ac:dyDescent="0.35">
      <c r="Q430" s="791" t="s">
        <v>322</v>
      </c>
      <c r="R430" s="791"/>
      <c r="S430" s="791"/>
      <c r="T430" s="791"/>
    </row>
    <row r="432" spans="1:20" ht="18" thickBot="1" x14ac:dyDescent="0.4">
      <c r="A432" s="941" t="s">
        <v>221</v>
      </c>
      <c r="B432" s="941"/>
      <c r="C432" s="941"/>
      <c r="D432" s="941"/>
      <c r="E432" s="941"/>
      <c r="F432" s="941"/>
      <c r="G432" s="941"/>
      <c r="H432" s="941"/>
      <c r="I432" s="941"/>
      <c r="J432" s="941"/>
      <c r="K432" s="941"/>
      <c r="L432" s="941"/>
      <c r="M432" s="941"/>
      <c r="N432" s="941"/>
      <c r="O432" s="941"/>
    </row>
    <row r="433" spans="1:15" ht="60.75" thickTop="1" x14ac:dyDescent="0.3">
      <c r="A433" s="340"/>
      <c r="B433" s="343" t="s">
        <v>151</v>
      </c>
      <c r="C433" s="347" t="s">
        <v>224</v>
      </c>
      <c r="D433" s="347" t="s">
        <v>152</v>
      </c>
      <c r="E433" s="347" t="s">
        <v>153</v>
      </c>
      <c r="F433" s="347" t="s">
        <v>154</v>
      </c>
      <c r="G433" s="347" t="s">
        <v>155</v>
      </c>
      <c r="H433" s="347" t="s">
        <v>156</v>
      </c>
      <c r="I433" s="351" t="s">
        <v>157</v>
      </c>
      <c r="J433" s="347" t="s">
        <v>158</v>
      </c>
      <c r="K433" s="347" t="s">
        <v>63</v>
      </c>
      <c r="L433" s="347" t="s">
        <v>159</v>
      </c>
      <c r="M433" s="341" t="s">
        <v>160</v>
      </c>
      <c r="N433" s="946" t="s">
        <v>220</v>
      </c>
      <c r="O433" s="947"/>
    </row>
    <row r="434" spans="1:15" ht="16.5" x14ac:dyDescent="0.3">
      <c r="A434" s="342" t="s">
        <v>143</v>
      </c>
      <c r="B434" s="471" t="s">
        <v>79</v>
      </c>
      <c r="C434" s="470" t="s">
        <v>79</v>
      </c>
      <c r="D434" s="470" t="s">
        <v>79</v>
      </c>
      <c r="E434" s="470" t="s">
        <v>79</v>
      </c>
      <c r="F434" s="470">
        <f>SUM(F421*10.674)</f>
        <v>671.39459999999997</v>
      </c>
      <c r="G434" s="470" t="s">
        <v>79</v>
      </c>
      <c r="H434" s="470" t="s">
        <v>79</v>
      </c>
      <c r="I434" s="472" t="s">
        <v>79</v>
      </c>
      <c r="J434" s="470" t="s">
        <v>79</v>
      </c>
      <c r="K434" s="470" t="s">
        <v>79</v>
      </c>
      <c r="L434" s="470" t="s">
        <v>79</v>
      </c>
      <c r="M434" s="473" t="s">
        <v>79</v>
      </c>
      <c r="N434" s="939">
        <f t="shared" ref="N434:N441" si="24">SUM(B434:M434)</f>
        <v>671.39459999999997</v>
      </c>
      <c r="O434" s="940"/>
    </row>
    <row r="435" spans="1:15" ht="16.5" x14ac:dyDescent="0.3">
      <c r="A435" s="342" t="s">
        <v>144</v>
      </c>
      <c r="B435" s="471">
        <f>SUM(B422*10.674)</f>
        <v>9750.6989999999987</v>
      </c>
      <c r="C435" s="470">
        <f>C422*10.674</f>
        <v>24924.857399999997</v>
      </c>
      <c r="D435" s="470">
        <f>SUM(D422*10.674)</f>
        <v>4981.0220999999992</v>
      </c>
      <c r="E435" s="470">
        <f>E422*10.674</f>
        <v>1950.1397999999997</v>
      </c>
      <c r="F435" s="470">
        <f>SUM(F422*10.674)</f>
        <v>11211.9696</v>
      </c>
      <c r="G435" s="470">
        <f>SUM(G422*10.674)</f>
        <v>7357.5881999999992</v>
      </c>
      <c r="H435" s="470">
        <f>SUM(H422*10.674)</f>
        <v>4936.7249999999995</v>
      </c>
      <c r="I435" s="472">
        <f>SUM(I422*10.674)</f>
        <v>6100.1909999999998</v>
      </c>
      <c r="J435" s="470" t="s">
        <v>79</v>
      </c>
      <c r="K435" s="470" t="s">
        <v>79</v>
      </c>
      <c r="L435" s="470" t="s">
        <v>79</v>
      </c>
      <c r="M435" s="473" t="s">
        <v>79</v>
      </c>
      <c r="N435" s="937">
        <f t="shared" si="24"/>
        <v>71213.192099999986</v>
      </c>
      <c r="O435" s="938"/>
    </row>
    <row r="436" spans="1:15" ht="16.5" x14ac:dyDescent="0.3">
      <c r="A436" s="342" t="s">
        <v>145</v>
      </c>
      <c r="B436" s="471" t="s">
        <v>79</v>
      </c>
      <c r="C436" s="470" t="s">
        <v>79</v>
      </c>
      <c r="D436" s="470" t="s">
        <v>79</v>
      </c>
      <c r="E436" s="470" t="s">
        <v>79</v>
      </c>
      <c r="F436" s="470" t="s">
        <v>79</v>
      </c>
      <c r="G436" s="470" t="s">
        <v>79</v>
      </c>
      <c r="H436" s="470" t="s">
        <v>79</v>
      </c>
      <c r="I436" s="472" t="s">
        <v>79</v>
      </c>
      <c r="J436" s="470">
        <f t="shared" ref="J436:L438" si="25">SUM(J423*10.674)</f>
        <v>2043.0036</v>
      </c>
      <c r="K436" s="470">
        <f t="shared" si="25"/>
        <v>2396.3130000000001</v>
      </c>
      <c r="L436" s="470">
        <f t="shared" si="25"/>
        <v>1408.9679999999998</v>
      </c>
      <c r="M436" s="473" t="s">
        <v>79</v>
      </c>
      <c r="N436" s="937">
        <f t="shared" si="24"/>
        <v>5848.2846</v>
      </c>
      <c r="O436" s="938"/>
    </row>
    <row r="437" spans="1:15" ht="16.5" x14ac:dyDescent="0.3">
      <c r="A437" s="342" t="s">
        <v>146</v>
      </c>
      <c r="B437" s="471" t="s">
        <v>79</v>
      </c>
      <c r="C437" s="470" t="s">
        <v>79</v>
      </c>
      <c r="D437" s="470" t="s">
        <v>79</v>
      </c>
      <c r="E437" s="470" t="s">
        <v>79</v>
      </c>
      <c r="F437" s="470" t="s">
        <v>79</v>
      </c>
      <c r="G437" s="470" t="s">
        <v>79</v>
      </c>
      <c r="H437" s="470" t="s">
        <v>79</v>
      </c>
      <c r="I437" s="472" t="s">
        <v>79</v>
      </c>
      <c r="J437" s="470">
        <f t="shared" si="25"/>
        <v>1234.9818</v>
      </c>
      <c r="K437" s="470">
        <f t="shared" si="25"/>
        <v>6675.5195999999996</v>
      </c>
      <c r="L437" s="470">
        <f t="shared" si="25"/>
        <v>2120.9237999999996</v>
      </c>
      <c r="M437" s="473" t="s">
        <v>79</v>
      </c>
      <c r="N437" s="937">
        <f t="shared" si="24"/>
        <v>10031.425199999998</v>
      </c>
      <c r="O437" s="938"/>
    </row>
    <row r="438" spans="1:15" ht="16.5" x14ac:dyDescent="0.3">
      <c r="A438" s="342" t="s">
        <v>147</v>
      </c>
      <c r="B438" s="471" t="s">
        <v>79</v>
      </c>
      <c r="C438" s="470" t="s">
        <v>79</v>
      </c>
      <c r="D438" s="470" t="s">
        <v>79</v>
      </c>
      <c r="E438" s="470" t="s">
        <v>79</v>
      </c>
      <c r="F438" s="470" t="s">
        <v>79</v>
      </c>
      <c r="G438" s="470" t="s">
        <v>79</v>
      </c>
      <c r="H438" s="470" t="s">
        <v>79</v>
      </c>
      <c r="I438" s="472" t="s">
        <v>79</v>
      </c>
      <c r="J438" s="470">
        <f t="shared" si="25"/>
        <v>794.14560000000006</v>
      </c>
      <c r="K438" s="470">
        <f t="shared" si="25"/>
        <v>800.55</v>
      </c>
      <c r="L438" s="470">
        <f t="shared" si="25"/>
        <v>249.77159999999998</v>
      </c>
      <c r="M438" s="473" t="s">
        <v>79</v>
      </c>
      <c r="N438" s="937">
        <f t="shared" si="24"/>
        <v>1844.4672</v>
      </c>
      <c r="O438" s="938"/>
    </row>
    <row r="439" spans="1:15" ht="16.5" x14ac:dyDescent="0.3">
      <c r="A439" s="342" t="s">
        <v>148</v>
      </c>
      <c r="B439" s="471" t="s">
        <v>79</v>
      </c>
      <c r="C439" s="470" t="s">
        <v>79</v>
      </c>
      <c r="D439" s="470" t="s">
        <v>79</v>
      </c>
      <c r="E439" s="470" t="s">
        <v>79</v>
      </c>
      <c r="F439" s="470" t="s">
        <v>79</v>
      </c>
      <c r="G439" s="470" t="s">
        <v>79</v>
      </c>
      <c r="H439" s="470" t="s">
        <v>79</v>
      </c>
      <c r="I439" s="472" t="s">
        <v>79</v>
      </c>
      <c r="J439" s="470">
        <f>SUM(J426*10.674)</f>
        <v>641.50739999999996</v>
      </c>
      <c r="K439" s="470">
        <f>SUM(K426*10.674)</f>
        <v>276.45659999999998</v>
      </c>
      <c r="L439" s="470" t="s">
        <v>79</v>
      </c>
      <c r="M439" s="473" t="s">
        <v>79</v>
      </c>
      <c r="N439" s="937">
        <f t="shared" si="24"/>
        <v>917.96399999999994</v>
      </c>
      <c r="O439" s="938"/>
    </row>
    <row r="440" spans="1:15" ht="16.5" x14ac:dyDescent="0.3">
      <c r="A440" s="342" t="s">
        <v>149</v>
      </c>
      <c r="B440" s="471" t="s">
        <v>79</v>
      </c>
      <c r="C440" s="470" t="s">
        <v>79</v>
      </c>
      <c r="D440" s="470" t="s">
        <v>79</v>
      </c>
      <c r="E440" s="470" t="s">
        <v>79</v>
      </c>
      <c r="F440" s="470" t="s">
        <v>79</v>
      </c>
      <c r="G440" s="470" t="s">
        <v>79</v>
      </c>
      <c r="H440" s="470" t="s">
        <v>79</v>
      </c>
      <c r="I440" s="472" t="s">
        <v>79</v>
      </c>
      <c r="J440" s="470">
        <f>SUM(J427*10.674)</f>
        <v>81.122399999999999</v>
      </c>
      <c r="K440" s="470" t="s">
        <v>79</v>
      </c>
      <c r="L440" s="470" t="s">
        <v>79</v>
      </c>
      <c r="M440" s="473" t="s">
        <v>79</v>
      </c>
      <c r="N440" s="937">
        <f t="shared" si="24"/>
        <v>81.122399999999999</v>
      </c>
      <c r="O440" s="938"/>
    </row>
    <row r="441" spans="1:15" ht="16.5" x14ac:dyDescent="0.3">
      <c r="A441" s="320" t="s">
        <v>150</v>
      </c>
      <c r="B441" s="474" t="s">
        <v>79</v>
      </c>
      <c r="C441" s="475" t="s">
        <v>79</v>
      </c>
      <c r="D441" s="475" t="s">
        <v>79</v>
      </c>
      <c r="E441" s="475" t="s">
        <v>79</v>
      </c>
      <c r="F441" s="475" t="s">
        <v>79</v>
      </c>
      <c r="G441" s="475" t="s">
        <v>79</v>
      </c>
      <c r="H441" s="475" t="s">
        <v>79</v>
      </c>
      <c r="I441" s="476" t="s">
        <v>79</v>
      </c>
      <c r="J441" s="475" t="s">
        <v>79</v>
      </c>
      <c r="K441" s="475" t="s">
        <v>79</v>
      </c>
      <c r="L441" s="475" t="s">
        <v>79</v>
      </c>
      <c r="M441" s="477">
        <f>SUM(M428*10.674)</f>
        <v>6380.917199999999</v>
      </c>
      <c r="N441" s="937">
        <f t="shared" si="24"/>
        <v>6380.917199999999</v>
      </c>
      <c r="O441" s="938"/>
    </row>
    <row r="442" spans="1:15" ht="16.5" x14ac:dyDescent="0.3">
      <c r="A442" s="233" t="s">
        <v>220</v>
      </c>
      <c r="B442" s="478">
        <f>SUM(B434:B441)</f>
        <v>9750.6989999999987</v>
      </c>
      <c r="C442" s="479">
        <f>SUM(C434:C441)</f>
        <v>24924.857399999997</v>
      </c>
      <c r="D442" s="479">
        <f>SUM(D434:D441)</f>
        <v>4981.0220999999992</v>
      </c>
      <c r="E442" s="479">
        <f>SUM(E434:E441)</f>
        <v>1950.1397999999997</v>
      </c>
      <c r="F442" s="479">
        <f>SUM(F434:F441)</f>
        <v>11883.3642</v>
      </c>
      <c r="G442" s="479">
        <f t="shared" ref="G442:M442" si="26">SUM(G434:G441)</f>
        <v>7357.5881999999992</v>
      </c>
      <c r="H442" s="479">
        <f t="shared" si="26"/>
        <v>4936.7249999999995</v>
      </c>
      <c r="I442" s="480">
        <f t="shared" si="26"/>
        <v>6100.1909999999998</v>
      </c>
      <c r="J442" s="479">
        <f t="shared" si="26"/>
        <v>4794.7608</v>
      </c>
      <c r="K442" s="479">
        <f t="shared" si="26"/>
        <v>10148.839199999999</v>
      </c>
      <c r="L442" s="479">
        <f t="shared" si="26"/>
        <v>3779.6633999999995</v>
      </c>
      <c r="M442" s="273">
        <f t="shared" si="26"/>
        <v>6380.917199999999</v>
      </c>
      <c r="N442" s="939">
        <f>SUM(N434:O441)</f>
        <v>96988.767299999978</v>
      </c>
      <c r="O442" s="940"/>
    </row>
    <row r="443" spans="1:15" x14ac:dyDescent="0.35">
      <c r="J443" s="27"/>
      <c r="K443" s="2"/>
    </row>
  </sheetData>
  <mergeCells count="670">
    <mergeCell ref="Z26:AB26"/>
    <mergeCell ref="AC26:AD26"/>
    <mergeCell ref="Q429:R429"/>
    <mergeCell ref="Q428:R428"/>
    <mergeCell ref="Q427:R427"/>
    <mergeCell ref="Z70:AA70"/>
    <mergeCell ref="Z71:AA71"/>
    <mergeCell ref="Z73:AA73"/>
    <mergeCell ref="Z74:AA74"/>
    <mergeCell ref="U81:X81"/>
    <mergeCell ref="Q81:Q83"/>
    <mergeCell ref="R81:R83"/>
    <mergeCell ref="Q79:Q80"/>
    <mergeCell ref="R79:R80"/>
    <mergeCell ref="U29:V29"/>
    <mergeCell ref="W29:X29"/>
    <mergeCell ref="U71:W71"/>
    <mergeCell ref="U70:W70"/>
    <mergeCell ref="Q109:Q110"/>
    <mergeCell ref="R109:R110"/>
    <mergeCell ref="Q112:Q113"/>
    <mergeCell ref="R112:R113"/>
    <mergeCell ref="U28:X28"/>
    <mergeCell ref="U30:V30"/>
    <mergeCell ref="Q430:T430"/>
    <mergeCell ref="U84:X84"/>
    <mergeCell ref="U85:X85"/>
    <mergeCell ref="U87:X87"/>
    <mergeCell ref="U79:X79"/>
    <mergeCell ref="X70:Y70"/>
    <mergeCell ref="X71:Y71"/>
    <mergeCell ref="X73:Y73"/>
    <mergeCell ref="X74:Y74"/>
    <mergeCell ref="S412:S413"/>
    <mergeCell ref="O401:S401"/>
    <mergeCell ref="P380:Q380"/>
    <mergeCell ref="P381:Q381"/>
    <mergeCell ref="Q71:Q72"/>
    <mergeCell ref="R71:R72"/>
    <mergeCell ref="Q77:Q78"/>
    <mergeCell ref="R77:R78"/>
    <mergeCell ref="P102:P103"/>
    <mergeCell ref="Q102:Q103"/>
    <mergeCell ref="R102:R103"/>
    <mergeCell ref="P112:P113"/>
    <mergeCell ref="U73:W73"/>
    <mergeCell ref="U74:W74"/>
    <mergeCell ref="U86:X86"/>
    <mergeCell ref="A370:C370"/>
    <mergeCell ref="D367:K367"/>
    <mergeCell ref="D366:K366"/>
    <mergeCell ref="D365:K365"/>
    <mergeCell ref="J112:J113"/>
    <mergeCell ref="I109:I110"/>
    <mergeCell ref="J109:J110"/>
    <mergeCell ref="B247:B328"/>
    <mergeCell ref="E109:E110"/>
    <mergeCell ref="F109:F110"/>
    <mergeCell ref="G109:G110"/>
    <mergeCell ref="H109:H110"/>
    <mergeCell ref="C117:C118"/>
    <mergeCell ref="D117:D118"/>
    <mergeCell ref="E117:E118"/>
    <mergeCell ref="F117:F118"/>
    <mergeCell ref="G117:G118"/>
    <mergeCell ref="H117:H118"/>
    <mergeCell ref="C119:C120"/>
    <mergeCell ref="D119:D120"/>
    <mergeCell ref="E119:E120"/>
    <mergeCell ref="F119:F120"/>
    <mergeCell ref="G119:G120"/>
    <mergeCell ref="B329:B353"/>
    <mergeCell ref="H71:H72"/>
    <mergeCell ref="I71:I72"/>
    <mergeCell ref="J71:J72"/>
    <mergeCell ref="I79:I80"/>
    <mergeCell ref="J79:J80"/>
    <mergeCell ref="C81:C83"/>
    <mergeCell ref="D81:D83"/>
    <mergeCell ref="E81:E83"/>
    <mergeCell ref="C79:C80"/>
    <mergeCell ref="D79:D80"/>
    <mergeCell ref="E79:E80"/>
    <mergeCell ref="G77:G78"/>
    <mergeCell ref="H77:H78"/>
    <mergeCell ref="I77:I78"/>
    <mergeCell ref="J77:J78"/>
    <mergeCell ref="F71:F72"/>
    <mergeCell ref="G71:G72"/>
    <mergeCell ref="F79:F80"/>
    <mergeCell ref="G79:G80"/>
    <mergeCell ref="H79:H80"/>
    <mergeCell ref="I81:I83"/>
    <mergeCell ref="J81:J83"/>
    <mergeCell ref="H81:H83"/>
    <mergeCell ref="E71:E72"/>
    <mergeCell ref="K411:K413"/>
    <mergeCell ref="I411:I412"/>
    <mergeCell ref="J411:J412"/>
    <mergeCell ref="A408:C408"/>
    <mergeCell ref="A409:C409"/>
    <mergeCell ref="A410:C410"/>
    <mergeCell ref="A402:C402"/>
    <mergeCell ref="F402:H402"/>
    <mergeCell ref="F403:H403"/>
    <mergeCell ref="F404:H404"/>
    <mergeCell ref="A403:C403"/>
    <mergeCell ref="F410:H410"/>
    <mergeCell ref="A391:C391"/>
    <mergeCell ref="A392:C392"/>
    <mergeCell ref="A393:C393"/>
    <mergeCell ref="A404:C404"/>
    <mergeCell ref="A396:C396"/>
    <mergeCell ref="A405:C405"/>
    <mergeCell ref="I377:J377"/>
    <mergeCell ref="A386:E386"/>
    <mergeCell ref="A387:C387"/>
    <mergeCell ref="A388:C388"/>
    <mergeCell ref="A401:H401"/>
    <mergeCell ref="A389:C389"/>
    <mergeCell ref="A390:C390"/>
    <mergeCell ref="I379:J379"/>
    <mergeCell ref="F378:H378"/>
    <mergeCell ref="N429:O429"/>
    <mergeCell ref="B3:B4"/>
    <mergeCell ref="E411:E412"/>
    <mergeCell ref="F411:H412"/>
    <mergeCell ref="A376:C376"/>
    <mergeCell ref="A377:C377"/>
    <mergeCell ref="A378:C378"/>
    <mergeCell ref="A379:C379"/>
    <mergeCell ref="A173:A353"/>
    <mergeCell ref="A6:A172"/>
    <mergeCell ref="A372:C372"/>
    <mergeCell ref="A373:C373"/>
    <mergeCell ref="A374:C374"/>
    <mergeCell ref="A375:C375"/>
    <mergeCell ref="B6:B10"/>
    <mergeCell ref="B11:B20"/>
    <mergeCell ref="L412:L413"/>
    <mergeCell ref="M412:M413"/>
    <mergeCell ref="F413:H413"/>
    <mergeCell ref="A413:C413"/>
    <mergeCell ref="A412:C412"/>
    <mergeCell ref="A394:C394"/>
    <mergeCell ref="A395:C395"/>
    <mergeCell ref="N420:O420"/>
    <mergeCell ref="N425:O425"/>
    <mergeCell ref="N426:O426"/>
    <mergeCell ref="O403:O405"/>
    <mergeCell ref="O407:O410"/>
    <mergeCell ref="O406:P406"/>
    <mergeCell ref="O411:R411"/>
    <mergeCell ref="O412:R413"/>
    <mergeCell ref="N427:O427"/>
    <mergeCell ref="N428:O428"/>
    <mergeCell ref="N421:O421"/>
    <mergeCell ref="N422:O422"/>
    <mergeCell ref="N423:O423"/>
    <mergeCell ref="N424:O424"/>
    <mergeCell ref="A419:O419"/>
    <mergeCell ref="A406:C406"/>
    <mergeCell ref="A407:C407"/>
    <mergeCell ref="A411:C411"/>
    <mergeCell ref="A416:D416"/>
    <mergeCell ref="A415:C415"/>
    <mergeCell ref="F405:H405"/>
    <mergeCell ref="F406:H406"/>
    <mergeCell ref="F407:H407"/>
    <mergeCell ref="F408:H408"/>
    <mergeCell ref="F409:H409"/>
    <mergeCell ref="A371:C371"/>
    <mergeCell ref="O372:P372"/>
    <mergeCell ref="O374:P374"/>
    <mergeCell ref="O375:P375"/>
    <mergeCell ref="H119:H120"/>
    <mergeCell ref="I119:I120"/>
    <mergeCell ref="J119:J120"/>
    <mergeCell ref="L119:L120"/>
    <mergeCell ref="J123:J124"/>
    <mergeCell ref="P123:P124"/>
    <mergeCell ref="P136:P137"/>
    <mergeCell ref="I145:I146"/>
    <mergeCell ref="J145:J146"/>
    <mergeCell ref="O136:O137"/>
    <mergeCell ref="I136:I137"/>
    <mergeCell ref="J136:J137"/>
    <mergeCell ref="L136:L137"/>
    <mergeCell ref="L145:L146"/>
    <mergeCell ref="M145:M146"/>
    <mergeCell ref="C136:C137"/>
    <mergeCell ref="D136:D137"/>
    <mergeCell ref="E136:E137"/>
    <mergeCell ref="F136:F137"/>
    <mergeCell ref="G136:G137"/>
    <mergeCell ref="O376:P376"/>
    <mergeCell ref="O377:P377"/>
    <mergeCell ref="C77:C78"/>
    <mergeCell ref="F377:H377"/>
    <mergeCell ref="M77:M78"/>
    <mergeCell ref="N77:N78"/>
    <mergeCell ref="O77:O78"/>
    <mergeCell ref="P77:P78"/>
    <mergeCell ref="P81:P83"/>
    <mergeCell ref="P79:P80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L100:L101"/>
    <mergeCell ref="M100:M101"/>
    <mergeCell ref="N100:N101"/>
    <mergeCell ref="O100:O101"/>
    <mergeCell ref="P100:P101"/>
    <mergeCell ref="C114:C116"/>
    <mergeCell ref="L71:L72"/>
    <mergeCell ref="L77:L78"/>
    <mergeCell ref="M81:M83"/>
    <mergeCell ref="N81:N83"/>
    <mergeCell ref="O81:O83"/>
    <mergeCell ref="M79:M80"/>
    <mergeCell ref="N79:N80"/>
    <mergeCell ref="O79:O80"/>
    <mergeCell ref="L79:L80"/>
    <mergeCell ref="L81:L83"/>
    <mergeCell ref="O378:P378"/>
    <mergeCell ref="O379:P379"/>
    <mergeCell ref="O373:P373"/>
    <mergeCell ref="D71:D72"/>
    <mergeCell ref="O370:P370"/>
    <mergeCell ref="O371:P371"/>
    <mergeCell ref="N71:N72"/>
    <mergeCell ref="M71:M72"/>
    <mergeCell ref="O71:O72"/>
    <mergeCell ref="P71:P72"/>
    <mergeCell ref="D77:D78"/>
    <mergeCell ref="E77:E78"/>
    <mergeCell ref="F77:F78"/>
    <mergeCell ref="F372:H372"/>
    <mergeCell ref="I372:J372"/>
    <mergeCell ref="I373:J373"/>
    <mergeCell ref="I374:J374"/>
    <mergeCell ref="I375:J375"/>
    <mergeCell ref="I376:J376"/>
    <mergeCell ref="F373:H373"/>
    <mergeCell ref="F374:H374"/>
    <mergeCell ref="F375:H375"/>
    <mergeCell ref="F376:H376"/>
    <mergeCell ref="I378:J378"/>
    <mergeCell ref="E30:E31"/>
    <mergeCell ref="F30:F31"/>
    <mergeCell ref="G30:G31"/>
    <mergeCell ref="F379:H379"/>
    <mergeCell ref="L366:P367"/>
    <mergeCell ref="B140:B172"/>
    <mergeCell ref="B51:B99"/>
    <mergeCell ref="B21:B32"/>
    <mergeCell ref="B33:B50"/>
    <mergeCell ref="B100:B139"/>
    <mergeCell ref="F371:H371"/>
    <mergeCell ref="F370:H370"/>
    <mergeCell ref="I370:J370"/>
    <mergeCell ref="I371:J371"/>
    <mergeCell ref="B173:B193"/>
    <mergeCell ref="A359:B360"/>
    <mergeCell ref="A354:B358"/>
    <mergeCell ref="C359:C360"/>
    <mergeCell ref="D359:D360"/>
    <mergeCell ref="E359:E360"/>
    <mergeCell ref="B194:B246"/>
    <mergeCell ref="C30:C31"/>
    <mergeCell ref="D30:D31"/>
    <mergeCell ref="C71:C72"/>
    <mergeCell ref="W30:X30"/>
    <mergeCell ref="U31:V31"/>
    <mergeCell ref="U32:V32"/>
    <mergeCell ref="W31:X31"/>
    <mergeCell ref="W32:X32"/>
    <mergeCell ref="U34:V34"/>
    <mergeCell ref="W34:X34"/>
    <mergeCell ref="A1:R2"/>
    <mergeCell ref="U13:X13"/>
    <mergeCell ref="A3:A4"/>
    <mergeCell ref="C3:C4"/>
    <mergeCell ref="D3:D4"/>
    <mergeCell ref="L3:P4"/>
    <mergeCell ref="K3:K4"/>
    <mergeCell ref="H3:H4"/>
    <mergeCell ref="I3:I4"/>
    <mergeCell ref="J3:J4"/>
    <mergeCell ref="C13:C14"/>
    <mergeCell ref="D13:D14"/>
    <mergeCell ref="E13:E14"/>
    <mergeCell ref="F13:F14"/>
    <mergeCell ref="U5:AA5"/>
    <mergeCell ref="Q3:Q4"/>
    <mergeCell ref="R3:R4"/>
    <mergeCell ref="Q13:Q14"/>
    <mergeCell ref="R13:R14"/>
    <mergeCell ref="U14:V14"/>
    <mergeCell ref="W14:X14"/>
    <mergeCell ref="U15:V15"/>
    <mergeCell ref="U16:V16"/>
    <mergeCell ref="W15:X15"/>
    <mergeCell ref="W16:X16"/>
    <mergeCell ref="W17:X17"/>
    <mergeCell ref="U17:V17"/>
    <mergeCell ref="G13:G14"/>
    <mergeCell ref="H13:H14"/>
    <mergeCell ref="I13:I14"/>
    <mergeCell ref="J13:J14"/>
    <mergeCell ref="L13:L14"/>
    <mergeCell ref="M13:M14"/>
    <mergeCell ref="N13:N14"/>
    <mergeCell ref="O13:O14"/>
    <mergeCell ref="P13:P14"/>
    <mergeCell ref="U19:V19"/>
    <mergeCell ref="W25:X25"/>
    <mergeCell ref="U25:V25"/>
    <mergeCell ref="U18:V18"/>
    <mergeCell ref="W18:X18"/>
    <mergeCell ref="U22:V22"/>
    <mergeCell ref="U24:V24"/>
    <mergeCell ref="W22:X22"/>
    <mergeCell ref="W24:X24"/>
    <mergeCell ref="U20:V20"/>
    <mergeCell ref="W20:X20"/>
    <mergeCell ref="U21:V21"/>
    <mergeCell ref="U23:V23"/>
    <mergeCell ref="W19:X19"/>
    <mergeCell ref="W21:X21"/>
    <mergeCell ref="W23:X23"/>
    <mergeCell ref="C44:C45"/>
    <mergeCell ref="D44:D45"/>
    <mergeCell ref="E44:E45"/>
    <mergeCell ref="F44:F45"/>
    <mergeCell ref="G44:G45"/>
    <mergeCell ref="H44:H45"/>
    <mergeCell ref="I44:I45"/>
    <mergeCell ref="J44:J45"/>
    <mergeCell ref="L44:L45"/>
    <mergeCell ref="M44:M45"/>
    <mergeCell ref="N44:N45"/>
    <mergeCell ref="O44:O45"/>
    <mergeCell ref="P44:P45"/>
    <mergeCell ref="Q44:Q45"/>
    <mergeCell ref="R44:R45"/>
    <mergeCell ref="H30:H31"/>
    <mergeCell ref="I30:I31"/>
    <mergeCell ref="J30:J31"/>
    <mergeCell ref="L30:L31"/>
    <mergeCell ref="M30:M31"/>
    <mergeCell ref="N30:N31"/>
    <mergeCell ref="O30:O31"/>
    <mergeCell ref="P30:P31"/>
    <mergeCell ref="R30:R31"/>
    <mergeCell ref="Q30:Q31"/>
    <mergeCell ref="Q100:Q101"/>
    <mergeCell ref="R100:R101"/>
    <mergeCell ref="F81:F83"/>
    <mergeCell ref="G81:G83"/>
    <mergeCell ref="C112:C113"/>
    <mergeCell ref="L109:L110"/>
    <mergeCell ref="M102:M103"/>
    <mergeCell ref="N102:N103"/>
    <mergeCell ref="O102:O103"/>
    <mergeCell ref="I102:I103"/>
    <mergeCell ref="J102:J103"/>
    <mergeCell ref="L102:L103"/>
    <mergeCell ref="C102:C103"/>
    <mergeCell ref="D102:D103"/>
    <mergeCell ref="E102:E103"/>
    <mergeCell ref="F102:F103"/>
    <mergeCell ref="G102:G103"/>
    <mergeCell ref="H102:H103"/>
    <mergeCell ref="C109:C110"/>
    <mergeCell ref="D109:D110"/>
    <mergeCell ref="M109:M110"/>
    <mergeCell ref="N109:N110"/>
    <mergeCell ref="O109:O110"/>
    <mergeCell ref="P109:P110"/>
    <mergeCell ref="D114:D116"/>
    <mergeCell ref="E114:E116"/>
    <mergeCell ref="F114:F116"/>
    <mergeCell ref="G114:G116"/>
    <mergeCell ref="H114:H116"/>
    <mergeCell ref="I114:I116"/>
    <mergeCell ref="J114:J116"/>
    <mergeCell ref="L114:L116"/>
    <mergeCell ref="D112:D113"/>
    <mergeCell ref="E112:E113"/>
    <mergeCell ref="F112:F113"/>
    <mergeCell ref="G112:G113"/>
    <mergeCell ref="H112:H113"/>
    <mergeCell ref="L112:L113"/>
    <mergeCell ref="I112:I113"/>
    <mergeCell ref="P117:P118"/>
    <mergeCell ref="Q117:Q118"/>
    <mergeCell ref="R117:R118"/>
    <mergeCell ref="M112:M113"/>
    <mergeCell ref="N112:N113"/>
    <mergeCell ref="O112:O113"/>
    <mergeCell ref="P119:P120"/>
    <mergeCell ref="Q119:Q120"/>
    <mergeCell ref="R119:R120"/>
    <mergeCell ref="M114:M116"/>
    <mergeCell ref="N114:N116"/>
    <mergeCell ref="O114:O116"/>
    <mergeCell ref="P114:P116"/>
    <mergeCell ref="Q114:Q116"/>
    <mergeCell ref="R114:R116"/>
    <mergeCell ref="M117:M118"/>
    <mergeCell ref="N117:N118"/>
    <mergeCell ref="O117:O118"/>
    <mergeCell ref="I117:I118"/>
    <mergeCell ref="J117:J118"/>
    <mergeCell ref="L117:L118"/>
    <mergeCell ref="L123:L124"/>
    <mergeCell ref="M123:M124"/>
    <mergeCell ref="N123:N124"/>
    <mergeCell ref="O123:O124"/>
    <mergeCell ref="M119:M120"/>
    <mergeCell ref="N119:N120"/>
    <mergeCell ref="O119:O120"/>
    <mergeCell ref="R123:R124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L127:L128"/>
    <mergeCell ref="M127:M128"/>
    <mergeCell ref="N127:N128"/>
    <mergeCell ref="O127:O128"/>
    <mergeCell ref="P127:P128"/>
    <mergeCell ref="Q127:Q128"/>
    <mergeCell ref="R127:R128"/>
    <mergeCell ref="C123:C124"/>
    <mergeCell ref="D123:D124"/>
    <mergeCell ref="E123:E124"/>
    <mergeCell ref="G123:G124"/>
    <mergeCell ref="H123:H124"/>
    <mergeCell ref="I123:I124"/>
    <mergeCell ref="F123:F124"/>
    <mergeCell ref="H136:H137"/>
    <mergeCell ref="M136:M137"/>
    <mergeCell ref="N136:N137"/>
    <mergeCell ref="Q123:Q124"/>
    <mergeCell ref="O156:O157"/>
    <mergeCell ref="P156:P157"/>
    <mergeCell ref="Q156:Q157"/>
    <mergeCell ref="R156:R157"/>
    <mergeCell ref="C145:C146"/>
    <mergeCell ref="D145:D146"/>
    <mergeCell ref="E145:E146"/>
    <mergeCell ref="F145:F146"/>
    <mergeCell ref="Q136:Q137"/>
    <mergeCell ref="R136:R137"/>
    <mergeCell ref="C141:C142"/>
    <mergeCell ref="D141:D142"/>
    <mergeCell ref="E141:E142"/>
    <mergeCell ref="G141:G142"/>
    <mergeCell ref="H141:H142"/>
    <mergeCell ref="I141:I142"/>
    <mergeCell ref="J141:J142"/>
    <mergeCell ref="L141:L142"/>
    <mergeCell ref="M141:M142"/>
    <mergeCell ref="N141:N142"/>
    <mergeCell ref="O141:O142"/>
    <mergeCell ref="P141:P142"/>
    <mergeCell ref="Q141:Q142"/>
    <mergeCell ref="R141:R142"/>
    <mergeCell ref="C156:C157"/>
    <mergeCell ref="D156:D157"/>
    <mergeCell ref="E156:E157"/>
    <mergeCell ref="F156:F157"/>
    <mergeCell ref="G156:G157"/>
    <mergeCell ref="H156:H157"/>
    <mergeCell ref="I156:I157"/>
    <mergeCell ref="J156:J157"/>
    <mergeCell ref="M156:M157"/>
    <mergeCell ref="L156:L157"/>
    <mergeCell ref="G145:G146"/>
    <mergeCell ref="H145:H146"/>
    <mergeCell ref="F141:F142"/>
    <mergeCell ref="N160:N161"/>
    <mergeCell ref="O160:O161"/>
    <mergeCell ref="P160:P161"/>
    <mergeCell ref="Q160:Q161"/>
    <mergeCell ref="R160:R161"/>
    <mergeCell ref="C158:C159"/>
    <mergeCell ref="D158:D159"/>
    <mergeCell ref="E158:E159"/>
    <mergeCell ref="F158:F159"/>
    <mergeCell ref="G158:G159"/>
    <mergeCell ref="H158:H159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M158:M159"/>
    <mergeCell ref="I158:I159"/>
    <mergeCell ref="J158:J159"/>
    <mergeCell ref="L158:L159"/>
    <mergeCell ref="L164:L165"/>
    <mergeCell ref="M164:M165"/>
    <mergeCell ref="C160:C161"/>
    <mergeCell ref="D160:D161"/>
    <mergeCell ref="E160:E161"/>
    <mergeCell ref="F160:F161"/>
    <mergeCell ref="G160:G161"/>
    <mergeCell ref="H160:H161"/>
    <mergeCell ref="I160:I161"/>
    <mergeCell ref="J160:J161"/>
    <mergeCell ref="L160:L161"/>
    <mergeCell ref="M160:M161"/>
    <mergeCell ref="C330:C331"/>
    <mergeCell ref="D330:D331"/>
    <mergeCell ref="E330:E331"/>
    <mergeCell ref="F330:F331"/>
    <mergeCell ref="G330:G331"/>
    <mergeCell ref="H330:H331"/>
    <mergeCell ref="I330:I331"/>
    <mergeCell ref="J330:J331"/>
    <mergeCell ref="L330:L331"/>
    <mergeCell ref="C334:C335"/>
    <mergeCell ref="D334:D335"/>
    <mergeCell ref="E334:E335"/>
    <mergeCell ref="F334:F335"/>
    <mergeCell ref="G334:G335"/>
    <mergeCell ref="H334:H335"/>
    <mergeCell ref="I334:I335"/>
    <mergeCell ref="J334:J335"/>
    <mergeCell ref="L334:L335"/>
    <mergeCell ref="C332:C333"/>
    <mergeCell ref="D332:D333"/>
    <mergeCell ref="E332:E333"/>
    <mergeCell ref="F332:F333"/>
    <mergeCell ref="G332:G333"/>
    <mergeCell ref="H332:H333"/>
    <mergeCell ref="I332:I333"/>
    <mergeCell ref="J332:J333"/>
    <mergeCell ref="L332:L333"/>
    <mergeCell ref="D344:D345"/>
    <mergeCell ref="E344:E345"/>
    <mergeCell ref="F344:F345"/>
    <mergeCell ref="G344:G345"/>
    <mergeCell ref="H344:H345"/>
    <mergeCell ref="I344:I345"/>
    <mergeCell ref="J344:J345"/>
    <mergeCell ref="L344:L345"/>
    <mergeCell ref="I342:I343"/>
    <mergeCell ref="J342:J343"/>
    <mergeCell ref="L342:L343"/>
    <mergeCell ref="C346:C347"/>
    <mergeCell ref="D346:D347"/>
    <mergeCell ref="E346:E347"/>
    <mergeCell ref="F346:F347"/>
    <mergeCell ref="G346:G347"/>
    <mergeCell ref="H346:H347"/>
    <mergeCell ref="I346:I347"/>
    <mergeCell ref="J346:J347"/>
    <mergeCell ref="L346:L347"/>
    <mergeCell ref="O344:O345"/>
    <mergeCell ref="P344:P345"/>
    <mergeCell ref="Q344:Q345"/>
    <mergeCell ref="R344:R345"/>
    <mergeCell ref="U33:V33"/>
    <mergeCell ref="N332:N333"/>
    <mergeCell ref="O332:O333"/>
    <mergeCell ref="O342:O343"/>
    <mergeCell ref="P334:P335"/>
    <mergeCell ref="Q334:Q335"/>
    <mergeCell ref="R334:R335"/>
    <mergeCell ref="P332:P333"/>
    <mergeCell ref="Q332:Q333"/>
    <mergeCell ref="R332:R333"/>
    <mergeCell ref="P164:P165"/>
    <mergeCell ref="Q164:Q165"/>
    <mergeCell ref="R164:R165"/>
    <mergeCell ref="N145:N146"/>
    <mergeCell ref="O145:O146"/>
    <mergeCell ref="P145:P146"/>
    <mergeCell ref="Q145:Q146"/>
    <mergeCell ref="R145:R146"/>
    <mergeCell ref="N156:N157"/>
    <mergeCell ref="R158:R159"/>
    <mergeCell ref="P342:P343"/>
    <mergeCell ref="Q342:Q343"/>
    <mergeCell ref="R342:R343"/>
    <mergeCell ref="M344:M345"/>
    <mergeCell ref="N438:O438"/>
    <mergeCell ref="N439:O439"/>
    <mergeCell ref="W33:X33"/>
    <mergeCell ref="M332:M333"/>
    <mergeCell ref="M330:M331"/>
    <mergeCell ref="N330:N331"/>
    <mergeCell ref="O330:O331"/>
    <mergeCell ref="P330:P331"/>
    <mergeCell ref="Q330:Q331"/>
    <mergeCell ref="R330:R331"/>
    <mergeCell ref="N158:N159"/>
    <mergeCell ref="O158:O159"/>
    <mergeCell ref="N164:N165"/>
    <mergeCell ref="O164:O165"/>
    <mergeCell ref="P158:P159"/>
    <mergeCell ref="Q158:Q159"/>
    <mergeCell ref="P346:P347"/>
    <mergeCell ref="Q346:Q347"/>
    <mergeCell ref="R346:R347"/>
    <mergeCell ref="N344:N345"/>
    <mergeCell ref="N440:O440"/>
    <mergeCell ref="N441:O441"/>
    <mergeCell ref="N442:O442"/>
    <mergeCell ref="A432:O432"/>
    <mergeCell ref="M334:M335"/>
    <mergeCell ref="N334:N335"/>
    <mergeCell ref="O334:O335"/>
    <mergeCell ref="N433:O433"/>
    <mergeCell ref="N434:O434"/>
    <mergeCell ref="N435:O435"/>
    <mergeCell ref="N436:O436"/>
    <mergeCell ref="N437:O437"/>
    <mergeCell ref="M346:M347"/>
    <mergeCell ref="N346:N347"/>
    <mergeCell ref="O346:O347"/>
    <mergeCell ref="C344:C345"/>
    <mergeCell ref="C342:C343"/>
    <mergeCell ref="D342:D343"/>
    <mergeCell ref="E342:E343"/>
    <mergeCell ref="F342:F343"/>
    <mergeCell ref="G342:G343"/>
    <mergeCell ref="H342:H343"/>
    <mergeCell ref="M342:M343"/>
    <mergeCell ref="N342:N343"/>
    <mergeCell ref="AC14:AD14"/>
    <mergeCell ref="AC15:AD15"/>
    <mergeCell ref="AC16:AD16"/>
    <mergeCell ref="AC17:AD17"/>
    <mergeCell ref="Z15:AB15"/>
    <mergeCell ref="Z14:AB14"/>
    <mergeCell ref="Z13:AD13"/>
    <mergeCell ref="Z16:AB16"/>
    <mergeCell ref="AC23:AD23"/>
    <mergeCell ref="AC25:AD25"/>
    <mergeCell ref="AC18:AD18"/>
    <mergeCell ref="AC19:AD19"/>
    <mergeCell ref="AC20:AD20"/>
    <mergeCell ref="AC21:AD21"/>
    <mergeCell ref="AC22:AD22"/>
    <mergeCell ref="Z18:AB18"/>
    <mergeCell ref="Z24:AB24"/>
    <mergeCell ref="Z25:AB25"/>
    <mergeCell ref="Z23:AB23"/>
    <mergeCell ref="Z19:AB19"/>
    <mergeCell ref="Z20:AB20"/>
    <mergeCell ref="Z21:AB21"/>
    <mergeCell ref="Z22:AB22"/>
    <mergeCell ref="AC24:AD24"/>
  </mergeCells>
  <phoneticPr fontId="8" type="noConversion"/>
  <pageMargins left="0.7" right="0.7" top="0.75" bottom="0.75" header="0.3" footer="0.3"/>
  <pageSetup paperSize="8" scale="86" fitToHeight="0" orientation="landscape" r:id="rId1"/>
  <ignoredErrors>
    <ignoredError sqref="D365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4D6A3-F72A-4EE5-B845-44B67D42C538}">
  <sheetPr>
    <pageSetUpPr fitToPage="1"/>
  </sheetPr>
  <dimension ref="A1:P48"/>
  <sheetViews>
    <sheetView topLeftCell="A24" workbookViewId="0">
      <selection activeCell="G42" sqref="G42"/>
    </sheetView>
  </sheetViews>
  <sheetFormatPr defaultRowHeight="15" x14ac:dyDescent="0.25"/>
  <cols>
    <col min="1" max="1" width="10.5703125" customWidth="1"/>
    <col min="2" max="2" width="21.7109375" bestFit="1" customWidth="1"/>
    <col min="7" max="7" width="20.85546875" customWidth="1"/>
    <col min="8" max="8" width="16.28515625" customWidth="1"/>
    <col min="9" max="9" width="17.5703125" customWidth="1"/>
  </cols>
  <sheetData>
    <row r="1" spans="1:16" ht="30" customHeight="1" thickBot="1" x14ac:dyDescent="0.3">
      <c r="A1" s="1150" t="s">
        <v>73</v>
      </c>
      <c r="B1" s="1151"/>
      <c r="C1" s="1151"/>
      <c r="D1" s="1151"/>
      <c r="E1" s="1151"/>
      <c r="F1" s="1151"/>
      <c r="G1" s="1151"/>
      <c r="H1" s="1152"/>
      <c r="L1" s="484"/>
    </row>
    <row r="2" spans="1:16" ht="40.5" customHeight="1" thickTop="1" x14ac:dyDescent="0.25">
      <c r="A2" s="1155" t="s">
        <v>74</v>
      </c>
      <c r="B2" s="1156"/>
      <c r="C2" s="203" t="s">
        <v>28</v>
      </c>
      <c r="D2" s="204" t="s">
        <v>29</v>
      </c>
      <c r="E2" s="204" t="s">
        <v>30</v>
      </c>
      <c r="F2" s="204" t="s">
        <v>62</v>
      </c>
      <c r="G2" s="205" t="s">
        <v>77</v>
      </c>
      <c r="H2" s="206" t="s">
        <v>78</v>
      </c>
      <c r="J2" s="1140" t="s">
        <v>82</v>
      </c>
      <c r="K2" s="1141"/>
      <c r="L2" s="1141"/>
      <c r="M2" s="1141"/>
      <c r="N2" s="1141"/>
      <c r="O2" s="1141"/>
      <c r="P2" s="1142"/>
    </row>
    <row r="3" spans="1:16" x14ac:dyDescent="0.25">
      <c r="A3" s="1157" t="s">
        <v>75</v>
      </c>
      <c r="B3" s="1158"/>
      <c r="C3" s="200">
        <f>COUNTA('Plot By Plot SoA'!L6:L172)</f>
        <v>8</v>
      </c>
      <c r="D3" s="201">
        <f>COUNTA('Plot By Plot SoA'!M6:M172)</f>
        <v>64</v>
      </c>
      <c r="E3" s="201">
        <f>COUNTA('Plot By Plot SoA'!N6:N172)</f>
        <v>57</v>
      </c>
      <c r="F3" s="201">
        <f>COUNTA('Plot By Plot SoA'!O6:O172)</f>
        <v>13</v>
      </c>
      <c r="G3" s="202">
        <f>SUM(C3:F3)</f>
        <v>142</v>
      </c>
      <c r="H3" s="1145">
        <f>SUM(G4/G3)</f>
        <v>972.66996922535191</v>
      </c>
      <c r="J3" s="166"/>
      <c r="K3" s="161" t="s">
        <v>60</v>
      </c>
      <c r="L3" s="485" t="s">
        <v>196</v>
      </c>
      <c r="M3" s="161" t="s">
        <v>80</v>
      </c>
      <c r="N3" s="161" t="s">
        <v>55</v>
      </c>
      <c r="O3" s="162" t="s">
        <v>56</v>
      </c>
      <c r="P3" s="165" t="s">
        <v>52</v>
      </c>
    </row>
    <row r="4" spans="1:16" ht="16.5" x14ac:dyDescent="0.35">
      <c r="A4" s="188"/>
      <c r="B4" s="196" t="s">
        <v>42</v>
      </c>
      <c r="C4" s="192">
        <f>SUM(C5*10.7639)</f>
        <v>4262.5044000000007</v>
      </c>
      <c r="D4" s="183">
        <f>SUM(D5*10.7639)</f>
        <v>55958.286929999995</v>
      </c>
      <c r="E4" s="183">
        <f>SUM(E5*10.7639)</f>
        <v>59123.949919999977</v>
      </c>
      <c r="F4" s="183">
        <f>SUM(F5*10.7639)</f>
        <v>18774.394380000002</v>
      </c>
      <c r="G4" s="184">
        <f>SUM(C4:F4)</f>
        <v>138119.13562999998</v>
      </c>
      <c r="H4" s="1146"/>
      <c r="J4" s="157" t="s">
        <v>28</v>
      </c>
      <c r="K4" s="207" cm="1">
        <f t="array" ref="K4">SUM(IF(('Plot By Plot SoA'!F6:F172="Y")*('Plot By Plot SoA'!L6:L172="Y"),1,0))</f>
        <v>0</v>
      </c>
      <c r="L4" s="485" cm="1">
        <f t="array" ref="L4">SUM(IF(('Plot By Plot SoA'!G6:G172="Y")*('Plot By Plot SoA'!L6:L172="Y"),1,0))</f>
        <v>0</v>
      </c>
      <c r="M4" s="207" cm="1">
        <f t="array" ref="M4">SUM(IF(('Plot By Plot SoA'!H6:H172="Y")*('Plot By Plot SoA'!L6:L172="Y"),1,0))</f>
        <v>8</v>
      </c>
      <c r="N4" s="207" cm="1">
        <f t="array" ref="N4">SUM(IF(('Plot By Plot SoA'!I6:I172="Y")*('Plot By Plot SoA'!L6:L172="Y"),1,0))</f>
        <v>0</v>
      </c>
      <c r="O4" s="208" cm="1">
        <f t="array" ref="O4">SUM(IF(('Plot By Plot SoA'!J6:J172="Y")*('Plot By Plot SoA'!L6:L172="Y"),1,0))</f>
        <v>0</v>
      </c>
      <c r="P4" s="213">
        <f>SUM(K4:O4)</f>
        <v>8</v>
      </c>
    </row>
    <row r="5" spans="1:16" ht="16.5" x14ac:dyDescent="0.35">
      <c r="A5" s="188"/>
      <c r="B5" s="197" t="s">
        <v>41</v>
      </c>
      <c r="C5" s="193">
        <f>SUMIF('Plot By Plot SoA'!L6:L172,"Y",'Plot By Plot SoA'!D6:D172)</f>
        <v>396.00000000000006</v>
      </c>
      <c r="D5" s="185">
        <f>SUMIF('Plot By Plot SoA'!M6:M172,"Y",'Plot By Plot SoA'!D6:D172)</f>
        <v>5198.7</v>
      </c>
      <c r="E5" s="185">
        <f>SUMIF('Plot By Plot SoA'!N6:N172,"Y",'Plot By Plot SoA'!D6:D172)</f>
        <v>5492.7999999999984</v>
      </c>
      <c r="F5" s="185">
        <f>SUMIF('Plot By Plot SoA'!O6:O172,"Y",'Plot By Plot SoA'!D6:D172)</f>
        <v>1744.2000000000003</v>
      </c>
      <c r="G5" s="186">
        <f>SUM(C5:F5)</f>
        <v>12831.699999999999</v>
      </c>
      <c r="H5" s="1146"/>
      <c r="J5" s="157" t="s">
        <v>29</v>
      </c>
      <c r="K5" s="207" cm="1">
        <f t="array" ref="K5">SUM(IF(('Plot By Plot SoA'!F6:F172="Y")*('Plot By Plot SoA'!M6:M172="Y"),1,0))</f>
        <v>44</v>
      </c>
      <c r="L5" s="207" cm="1">
        <f t="array" ref="L5">SUM(IF(('Plot By Plot SoA'!G6:G172="Y")*('Plot By Plot SoA'!M6:M172="Y"),1,0))</f>
        <v>3</v>
      </c>
      <c r="M5" s="207" cm="1">
        <f t="array" ref="M5">SUM(IF(('Plot By Plot SoA'!H6:H172="Y")*('Plot By Plot SoA'!M6:M172="Y"),1,0))</f>
        <v>17</v>
      </c>
      <c r="N5" s="207" cm="1">
        <f t="array" ref="N5">SUM(IF(('Plot By Plot SoA'!I6:I172="Y")*('Plot By Plot SoA'!M6:M172="Y"),1,0))</f>
        <v>0</v>
      </c>
      <c r="O5" s="209" cm="1">
        <f t="array" ref="O5">SUM(IF(('Plot By Plot SoA'!J6:J172="Y")*('Plot By Plot SoA'!M6:M172="Y"),1,0))</f>
        <v>0</v>
      </c>
      <c r="P5" s="213">
        <f>SUM(K5:O5)</f>
        <v>64</v>
      </c>
    </row>
    <row r="6" spans="1:16" ht="16.5" x14ac:dyDescent="0.35">
      <c r="A6" s="188"/>
      <c r="B6" s="198" t="s">
        <v>81</v>
      </c>
      <c r="C6" s="194">
        <f>SUM(C4/C3)</f>
        <v>532.81305000000009</v>
      </c>
      <c r="D6" s="187">
        <f>SUM(D4/D3)</f>
        <v>874.34823328124992</v>
      </c>
      <c r="E6" s="187">
        <f>SUM(E4/E3)</f>
        <v>1037.2622792982452</v>
      </c>
      <c r="F6" s="187">
        <f>SUM(F4/F3)</f>
        <v>1444.1841830769231</v>
      </c>
      <c r="G6" s="182" t="s">
        <v>79</v>
      </c>
      <c r="H6" s="1146"/>
      <c r="J6" s="157" t="s">
        <v>30</v>
      </c>
      <c r="K6" s="207" cm="1">
        <f t="array" ref="K6">SUM(IF(('Plot By Plot SoA'!F6:F172="Y")*('Plot By Plot SoA'!N6:N172="Y"),1,0))</f>
        <v>41</v>
      </c>
      <c r="L6" s="207" cm="1">
        <f t="array" ref="L6">SUM(IF(('Plot By Plot SoA'!G6:G172="Y")*('Plot By Plot SoA'!N6:N172="Y"),1,0))</f>
        <v>0</v>
      </c>
      <c r="M6" s="207" cm="1">
        <f t="array" ref="M6">SUM(IF(('Plot By Plot SoA'!H6:H172="Y")*('Plot By Plot SoA'!N6:N172="Y"),1,0))</f>
        <v>16</v>
      </c>
      <c r="N6" s="207" cm="1">
        <f t="array" ref="N6">SUM(IF(('Plot By Plot SoA'!I6:I172="Y")*('Plot By Plot SoA'!N6:N172="Y"),1,0))</f>
        <v>0</v>
      </c>
      <c r="O6" s="209" cm="1">
        <f t="array" ref="O6">SUM(IF(('Plot By Plot SoA'!J6:J172="Y")*('Plot By Plot SoA'!N6:N172="Y"),1,0))</f>
        <v>0</v>
      </c>
      <c r="P6" s="213">
        <f>SUM(K6:O6)</f>
        <v>57</v>
      </c>
    </row>
    <row r="7" spans="1:16" ht="17.25" thickBot="1" x14ac:dyDescent="0.4">
      <c r="A7" s="189"/>
      <c r="B7" s="199" t="s">
        <v>76</v>
      </c>
      <c r="C7" s="195">
        <f>SUM(C5/C3)</f>
        <v>49.500000000000007</v>
      </c>
      <c r="D7" s="190">
        <f>SUM(D5/D3)</f>
        <v>81.229687499999997</v>
      </c>
      <c r="E7" s="190">
        <f>SUM(E5/E3)</f>
        <v>96.364912280701731</v>
      </c>
      <c r="F7" s="190">
        <f>SUM(F5/F3)</f>
        <v>134.16923076923078</v>
      </c>
      <c r="G7" s="191" t="s">
        <v>79</v>
      </c>
      <c r="H7" s="1147"/>
      <c r="J7" s="167" t="s">
        <v>62</v>
      </c>
      <c r="K7" s="210" cm="1">
        <f t="array" ref="K7">SUM(IF(('Plot By Plot SoA'!F6:F172="Y")*('Plot By Plot SoA'!O6:O172="Y"),1,0))</f>
        <v>13</v>
      </c>
      <c r="L7" s="207" cm="1">
        <f t="array" ref="L7">SUM(IF(('Plot By Plot SoA'!G6:G172="Y")*('Plot By Plot SoA'!O6:O172="Y"),1,0))</f>
        <v>0</v>
      </c>
      <c r="M7" s="211" cm="1">
        <f t="array" ref="M7">SUM(IF(('Plot By Plot SoA'!H6:H172="Y")*('Plot By Plot SoA'!O6:O172="Y"),1,0))</f>
        <v>0</v>
      </c>
      <c r="N7" s="211" cm="1">
        <f t="array" ref="N7">SUM(IF(('Plot By Plot SoA'!I6:I172="Y")*('Plot By Plot SoA'!O6:O172="Y"),1,0))</f>
        <v>0</v>
      </c>
      <c r="O7" s="212" cm="1">
        <f t="array" ref="O7">SUM(IF(('Plot By Plot SoA'!J6:J172="Y")*('Plot By Plot SoA'!O6:O172="Y"),1,0))</f>
        <v>0</v>
      </c>
      <c r="P7" s="213">
        <f>SUM(K7:O7)</f>
        <v>13</v>
      </c>
    </row>
    <row r="8" spans="1:16" ht="15.75" thickBot="1" x14ac:dyDescent="0.3">
      <c r="A8" s="1148"/>
      <c r="B8" s="1148"/>
      <c r="C8" s="1148"/>
      <c r="D8" s="1148"/>
      <c r="E8" s="1148"/>
      <c r="F8" s="1148"/>
      <c r="G8" s="1148"/>
      <c r="H8" s="1148"/>
      <c r="J8" s="158" t="s">
        <v>52</v>
      </c>
      <c r="K8" s="215">
        <f>SUM(K4:K7)</f>
        <v>98</v>
      </c>
      <c r="L8" s="486">
        <f>SUM(L4:L7)</f>
        <v>3</v>
      </c>
      <c r="M8" s="215">
        <f>SUM(M4:M7)</f>
        <v>41</v>
      </c>
      <c r="N8" s="215">
        <f>SUM(N4:N7)</f>
        <v>0</v>
      </c>
      <c r="O8" s="215">
        <f>SUM(O4:O7)</f>
        <v>0</v>
      </c>
      <c r="P8" s="214">
        <f>SUM(K8:O8)</f>
        <v>142</v>
      </c>
    </row>
    <row r="9" spans="1:16" x14ac:dyDescent="0.25">
      <c r="A9" s="1149"/>
      <c r="B9" s="1149"/>
      <c r="C9" s="1149"/>
      <c r="D9" s="1149"/>
      <c r="E9" s="1149"/>
      <c r="F9" s="1149"/>
      <c r="G9" s="1149"/>
      <c r="H9" s="1149"/>
    </row>
    <row r="10" spans="1:16" x14ac:dyDescent="0.25">
      <c r="A10" s="1149"/>
      <c r="B10" s="1149"/>
      <c r="C10" s="1149"/>
      <c r="D10" s="1149"/>
      <c r="E10" s="1149"/>
      <c r="F10" s="1149"/>
      <c r="G10" s="1149"/>
      <c r="H10" s="1149"/>
    </row>
    <row r="11" spans="1:16" x14ac:dyDescent="0.25">
      <c r="A11" s="1149"/>
      <c r="B11" s="1149"/>
      <c r="C11" s="1149"/>
      <c r="D11" s="1149"/>
      <c r="E11" s="1149"/>
      <c r="F11" s="1149"/>
      <c r="G11" s="1149"/>
      <c r="H11" s="1149"/>
    </row>
    <row r="13" spans="1:16" ht="15.75" thickBot="1" x14ac:dyDescent="0.3"/>
    <row r="14" spans="1:16" ht="26.25" customHeight="1" thickBot="1" x14ac:dyDescent="0.3">
      <c r="A14" s="1150" t="s">
        <v>85</v>
      </c>
      <c r="B14" s="1151"/>
      <c r="C14" s="1151"/>
      <c r="D14" s="1151"/>
      <c r="E14" s="1151"/>
      <c r="F14" s="1151"/>
      <c r="G14" s="1151"/>
      <c r="H14" s="1152"/>
    </row>
    <row r="15" spans="1:16" ht="40.5" customHeight="1" thickTop="1" x14ac:dyDescent="0.25">
      <c r="A15" s="1155" t="s">
        <v>74</v>
      </c>
      <c r="B15" s="1156"/>
      <c r="C15" s="203" t="s">
        <v>28</v>
      </c>
      <c r="D15" s="204" t="s">
        <v>29</v>
      </c>
      <c r="E15" s="204" t="s">
        <v>30</v>
      </c>
      <c r="F15" s="204" t="s">
        <v>62</v>
      </c>
      <c r="G15" s="205" t="s">
        <v>77</v>
      </c>
      <c r="H15" s="206" t="s">
        <v>78</v>
      </c>
      <c r="J15" s="1140" t="s">
        <v>84</v>
      </c>
      <c r="K15" s="1141"/>
      <c r="L15" s="1141"/>
      <c r="M15" s="1141"/>
      <c r="N15" s="1141"/>
      <c r="O15" s="1141"/>
      <c r="P15" s="1142"/>
    </row>
    <row r="16" spans="1:16" x14ac:dyDescent="0.25">
      <c r="A16" s="1157" t="s">
        <v>83</v>
      </c>
      <c r="B16" s="1158"/>
      <c r="C16" s="200">
        <f>COUNTA('Plot By Plot SoA'!L173:L353)</f>
        <v>131</v>
      </c>
      <c r="D16" s="201">
        <f>COUNTA('Plot By Plot SoA'!M173:M353)</f>
        <v>32</v>
      </c>
      <c r="E16" s="201">
        <f>COUNTA('Plot By Plot SoA'!N173:N353)</f>
        <v>12</v>
      </c>
      <c r="F16" s="201">
        <f>COUNTA('Plot By Plot SoA'!O173:O353)</f>
        <v>0</v>
      </c>
      <c r="G16" s="216">
        <f>SUM(C16:F16)</f>
        <v>175</v>
      </c>
      <c r="H16" s="1145">
        <f>SUM(G17/G16)</f>
        <v>606.62264999999957</v>
      </c>
      <c r="J16" s="166"/>
      <c r="K16" s="161" t="s">
        <v>60</v>
      </c>
      <c r="L16" s="485" t="s">
        <v>196</v>
      </c>
      <c r="M16" s="161" t="s">
        <v>80</v>
      </c>
      <c r="N16" s="161" t="s">
        <v>55</v>
      </c>
      <c r="O16" s="162" t="s">
        <v>56</v>
      </c>
      <c r="P16" s="165" t="s">
        <v>52</v>
      </c>
    </row>
    <row r="17" spans="1:16" ht="16.5" x14ac:dyDescent="0.35">
      <c r="A17" s="188"/>
      <c r="B17" s="196" t="s">
        <v>42</v>
      </c>
      <c r="C17" s="192">
        <f>SUM(C18*10.7639)</f>
        <v>67746.910209999929</v>
      </c>
      <c r="D17" s="183">
        <f>SUM(D18*10.7639)</f>
        <v>26065.860239999995</v>
      </c>
      <c r="E17" s="183">
        <f>SUM(E18*10.7639)</f>
        <v>12346.193300000003</v>
      </c>
      <c r="F17" s="183">
        <f>SUM(F18*10.7639)</f>
        <v>0</v>
      </c>
      <c r="G17" s="217">
        <f>SUM(C17:F17)</f>
        <v>106158.96374999992</v>
      </c>
      <c r="H17" s="1146"/>
      <c r="J17" s="157" t="s">
        <v>28</v>
      </c>
      <c r="K17" s="207" cm="1">
        <f t="array" ref="K17">SUM(IF(('Plot By Plot SoA'!F173:F353="Y")*('Plot By Plot SoA'!L173:L353="Y"),1,0))</f>
        <v>0</v>
      </c>
      <c r="L17" s="485" cm="1">
        <f t="array" ref="L17">SUM(IF(('Plot By Plot SoA'!G173:G353="Y")*('Plot By Plot SoA'!L173:L353="Y"),1,0))</f>
        <v>0</v>
      </c>
      <c r="M17" s="207" cm="1">
        <f t="array" ref="M17">SUM(IF(('Plot By Plot SoA'!H173:H353="Y")*('Plot By Plot SoA'!L173:L353="Y"),1,0))</f>
        <v>14</v>
      </c>
      <c r="N17" s="207" cm="1">
        <f t="array" ref="N17">SUM(IF(('Plot By Plot SoA'!I173:I353="Y")*('Plot By Plot SoA'!L173:L353="Y"),1,0))</f>
        <v>6</v>
      </c>
      <c r="O17" s="208" cm="1">
        <f t="array" ref="O17">SUM(IF(('Plot By Plot SoA'!J173:J353="Y")*('Plot By Plot SoA'!L173:L353="Y"),1,0))</f>
        <v>111</v>
      </c>
      <c r="P17" s="213">
        <f>SUM(K17:O17)</f>
        <v>131</v>
      </c>
    </row>
    <row r="18" spans="1:16" ht="16.5" x14ac:dyDescent="0.35">
      <c r="A18" s="188"/>
      <c r="B18" s="197" t="s">
        <v>41</v>
      </c>
      <c r="C18" s="193">
        <f>SUMIF('Plot By Plot SoA'!L173:L353,"Y",'Plot By Plot SoA'!D173:D353)</f>
        <v>6293.8999999999942</v>
      </c>
      <c r="D18" s="185">
        <f>SUMIF('Plot By Plot SoA'!M173:M353,"Y",'Plot By Plot SoA'!D173:D353)</f>
        <v>2421.5999999999995</v>
      </c>
      <c r="E18" s="185">
        <f>SUMIF('Plot By Plot SoA'!N173:N353,"Y",'Plot By Plot SoA'!D173:D353)</f>
        <v>1147.0000000000002</v>
      </c>
      <c r="F18" s="185">
        <f>SUMIF('Plot By Plot SoA'!O173:O353,"Y",'Plot By Plot SoA'!D173:D353)</f>
        <v>0</v>
      </c>
      <c r="G18" s="218">
        <f>SUM(C18:F18)</f>
        <v>9862.4999999999927</v>
      </c>
      <c r="H18" s="1146"/>
      <c r="J18" s="157" t="s">
        <v>29</v>
      </c>
      <c r="K18" s="207" cm="1">
        <f t="array" ref="K18">SUM(IF(('Plot By Plot SoA'!F173:F353="Y")*('Plot By Plot SoA'!M173:M353="Y"),1,0))</f>
        <v>0</v>
      </c>
      <c r="L18" s="207" cm="1">
        <f t="array" ref="L18">SUM(IF(('Plot By Plot SoA'!G173:G353="Y")*('Plot By Plot SoA'!M173:M353="Y"),1,0))</f>
        <v>0</v>
      </c>
      <c r="M18" s="207" cm="1">
        <f t="array" ref="M18">SUM(IF(('Plot By Plot SoA'!H173:H353="Y")*('Plot By Plot SoA'!M173:M353="Y"),1,0))</f>
        <v>6</v>
      </c>
      <c r="N18" s="207" cm="1">
        <f t="array" ref="N18">SUM(IF(('Plot By Plot SoA'!I173:I353="Y")*('Plot By Plot SoA'!M173:M353="Y"),1,0))</f>
        <v>20</v>
      </c>
      <c r="O18" s="209" cm="1">
        <f t="array" ref="O18">SUM(IF(('Plot By Plot SoA'!J173:J353="Y")*('Plot By Plot SoA'!M173:M353="Y"),1,0))</f>
        <v>6</v>
      </c>
      <c r="P18" s="213">
        <f>SUM(K18:O18)</f>
        <v>32</v>
      </c>
    </row>
    <row r="19" spans="1:16" ht="16.5" x14ac:dyDescent="0.35">
      <c r="A19" s="188"/>
      <c r="B19" s="198" t="s">
        <v>81</v>
      </c>
      <c r="C19" s="194">
        <f>SUM(C17/C16)</f>
        <v>517.15198633587727</v>
      </c>
      <c r="D19" s="187">
        <f>SUM(D17/D16)</f>
        <v>814.55813249999983</v>
      </c>
      <c r="E19" s="187">
        <f>SUM(E17/E16)</f>
        <v>1028.849441666667</v>
      </c>
      <c r="F19" s="187" t="s">
        <v>79</v>
      </c>
      <c r="G19" s="219" t="s">
        <v>79</v>
      </c>
      <c r="H19" s="1146"/>
      <c r="J19" s="157" t="s">
        <v>30</v>
      </c>
      <c r="K19" s="207" cm="1">
        <f t="array" ref="K19">SUM(IF(('Plot By Plot SoA'!F173:F353="Y")*('Plot By Plot SoA'!N173:N353="Y"),1,0))</f>
        <v>6</v>
      </c>
      <c r="L19" s="207" cm="1">
        <f t="array" ref="L19">SUM(IF(('Plot By Plot SoA'!G173:G353="Y")*('Plot By Plot SoA'!N173:N353="Y"),1,0))</f>
        <v>0</v>
      </c>
      <c r="M19" s="207" cm="1">
        <f t="array" ref="M19">SUM(IF(('Plot By Plot SoA'!H173:H353="Y")*('Plot By Plot SoA'!N173:N353="Y"),1,0))</f>
        <v>2</v>
      </c>
      <c r="N19" s="207" cm="1">
        <f t="array" ref="N19">SUM(IF(('Plot By Plot SoA'!I173:I353="Y")*('Plot By Plot SoA'!N173:N353="Y"),1,0))</f>
        <v>2</v>
      </c>
      <c r="O19" s="209" cm="1">
        <f t="array" ref="O19">SUM(IF(('Plot By Plot SoA'!J173:J353="Y")*('Plot By Plot SoA'!N173:N353="Y"),1,0))</f>
        <v>2</v>
      </c>
      <c r="P19" s="213">
        <f>SUM(K19:O19)</f>
        <v>12</v>
      </c>
    </row>
    <row r="20" spans="1:16" ht="17.25" thickBot="1" x14ac:dyDescent="0.4">
      <c r="A20" s="189"/>
      <c r="B20" s="199" t="s">
        <v>76</v>
      </c>
      <c r="C20" s="195">
        <f>SUM(C18/C16)</f>
        <v>48.045038167938884</v>
      </c>
      <c r="D20" s="190">
        <f>SUM(D18/D16)</f>
        <v>75.674999999999983</v>
      </c>
      <c r="E20" s="190">
        <f>SUM(E18/E16)</f>
        <v>95.583333333333357</v>
      </c>
      <c r="F20" s="190" t="s">
        <v>79</v>
      </c>
      <c r="G20" s="220" t="s">
        <v>79</v>
      </c>
      <c r="H20" s="1147"/>
      <c r="J20" s="167" t="s">
        <v>62</v>
      </c>
      <c r="K20" s="210" cm="1">
        <f t="array" ref="K20">SUM(IF(('Plot By Plot SoA'!F173:F353="Y")*('Plot By Plot SoA'!O173:O353="Y"),1,0))</f>
        <v>0</v>
      </c>
      <c r="L20" s="207" cm="1">
        <f t="array" ref="L20">SUM(IF(('Plot By Plot SoA'!G173:G353="Y")*('Plot By Plot SoA'!O173:O353="Y"),1,0))</f>
        <v>0</v>
      </c>
      <c r="M20" s="211" cm="1">
        <f t="array" ref="M20">SUM(IF(('Plot By Plot SoA'!H173:H353="Y")*('Plot By Plot SoA'!O173:O353="Y"),1,0))</f>
        <v>0</v>
      </c>
      <c r="N20" s="211" cm="1">
        <f t="array" ref="N20">SUM(IF(('Plot By Plot SoA'!I173:I353="Y")*('Plot By Plot SoA'!O173:O353="Y"),1,0))</f>
        <v>0</v>
      </c>
      <c r="O20" s="212" cm="1">
        <f t="array" ref="O20">SUM(IF(('Plot By Plot SoA'!J173:J353="Y")*('Plot By Plot SoA'!O173:O353="Y"),1,0))</f>
        <v>0</v>
      </c>
      <c r="P20" s="213">
        <f>SUM(K20:O20)</f>
        <v>0</v>
      </c>
    </row>
    <row r="21" spans="1:16" ht="15.75" thickBot="1" x14ac:dyDescent="0.3">
      <c r="A21" s="1148"/>
      <c r="B21" s="1148"/>
      <c r="C21" s="1148"/>
      <c r="D21" s="1148"/>
      <c r="E21" s="1148"/>
      <c r="F21" s="1148"/>
      <c r="G21" s="1148"/>
      <c r="H21" s="1148"/>
      <c r="J21" s="158" t="s">
        <v>52</v>
      </c>
      <c r="K21" s="215">
        <f>SUM(K17:K20)</f>
        <v>6</v>
      </c>
      <c r="L21" s="486">
        <f>SUM(L17:L20)</f>
        <v>0</v>
      </c>
      <c r="M21" s="215">
        <f>SUM(M17:M20)</f>
        <v>22</v>
      </c>
      <c r="N21" s="215">
        <f>SUM(N17:N20)</f>
        <v>28</v>
      </c>
      <c r="O21" s="215">
        <f>SUM(O17:O20)</f>
        <v>119</v>
      </c>
      <c r="P21" s="214">
        <f>SUM(K21:O21)</f>
        <v>175</v>
      </c>
    </row>
    <row r="22" spans="1:16" x14ac:dyDescent="0.25">
      <c r="A22" s="1149"/>
      <c r="B22" s="1149"/>
      <c r="C22" s="1149"/>
      <c r="D22" s="1149"/>
      <c r="E22" s="1149"/>
      <c r="F22" s="1149"/>
      <c r="G22" s="1149"/>
      <c r="H22" s="1149"/>
    </row>
    <row r="23" spans="1:16" x14ac:dyDescent="0.25">
      <c r="A23" s="1149"/>
      <c r="B23" s="1149"/>
      <c r="C23" s="1149"/>
      <c r="D23" s="1149"/>
      <c r="E23" s="1149"/>
      <c r="F23" s="1149"/>
      <c r="G23" s="1149"/>
      <c r="H23" s="1149"/>
    </row>
    <row r="24" spans="1:16" x14ac:dyDescent="0.25">
      <c r="A24" s="1149"/>
      <c r="B24" s="1149"/>
      <c r="C24" s="1149"/>
      <c r="D24" s="1149"/>
      <c r="E24" s="1149"/>
      <c r="F24" s="1149"/>
      <c r="G24" s="1149"/>
      <c r="H24" s="1149"/>
    </row>
    <row r="26" spans="1:16" ht="15.75" thickBot="1" x14ac:dyDescent="0.3"/>
    <row r="27" spans="1:16" ht="17.25" thickBot="1" x14ac:dyDescent="0.3">
      <c r="A27" s="1150" t="s">
        <v>88</v>
      </c>
      <c r="B27" s="1151"/>
      <c r="C27" s="1151"/>
      <c r="D27" s="1151"/>
      <c r="E27" s="1151"/>
      <c r="F27" s="1151"/>
      <c r="G27" s="1151"/>
      <c r="H27" s="1152"/>
    </row>
    <row r="28" spans="1:16" ht="31.5" thickTop="1" thickBot="1" x14ac:dyDescent="0.3">
      <c r="A28" s="1153" t="s">
        <v>74</v>
      </c>
      <c r="B28" s="1154"/>
      <c r="C28" s="203" t="s">
        <v>28</v>
      </c>
      <c r="D28" s="204" t="s">
        <v>29</v>
      </c>
      <c r="E28" s="204" t="s">
        <v>30</v>
      </c>
      <c r="F28" s="204" t="s">
        <v>62</v>
      </c>
      <c r="G28" s="205" t="s">
        <v>77</v>
      </c>
      <c r="H28" s="206" t="s">
        <v>78</v>
      </c>
      <c r="J28" s="1003" t="s">
        <v>50</v>
      </c>
      <c r="K28" s="1004"/>
      <c r="L28" s="1004"/>
      <c r="M28" s="1004"/>
      <c r="N28" s="1004"/>
      <c r="O28" s="1004"/>
      <c r="P28" s="1005"/>
    </row>
    <row r="29" spans="1:16" x14ac:dyDescent="0.25">
      <c r="A29" s="1143" t="s">
        <v>86</v>
      </c>
      <c r="B29" s="1144"/>
      <c r="C29" s="200">
        <f>SUM(C16+C3)</f>
        <v>139</v>
      </c>
      <c r="D29" s="201">
        <f>SUM(D16+D3)</f>
        <v>96</v>
      </c>
      <c r="E29" s="201">
        <f>SUM(E16+E3)</f>
        <v>69</v>
      </c>
      <c r="F29" s="201">
        <f>SUM(F16+F3)</f>
        <v>13</v>
      </c>
      <c r="G29" s="216">
        <f>SUM(C29:F29)</f>
        <v>317</v>
      </c>
      <c r="H29" s="1145">
        <f>SUM(G30/G29)</f>
        <v>770.59337343848551</v>
      </c>
      <c r="J29" s="167"/>
      <c r="K29" s="163" t="s">
        <v>60</v>
      </c>
      <c r="L29" s="398" t="s">
        <v>196</v>
      </c>
      <c r="M29" s="481" t="s">
        <v>80</v>
      </c>
      <c r="N29" s="163" t="s">
        <v>55</v>
      </c>
      <c r="O29" s="164" t="s">
        <v>56</v>
      </c>
      <c r="P29" s="396" t="s">
        <v>52</v>
      </c>
    </row>
    <row r="30" spans="1:16" ht="16.5" x14ac:dyDescent="0.35">
      <c r="A30" s="188"/>
      <c r="B30" s="196" t="s">
        <v>42</v>
      </c>
      <c r="C30" s="650">
        <f>SUM(C31*10.7639)</f>
        <v>72009.414609999934</v>
      </c>
      <c r="D30" s="651">
        <f>SUM(D31*10.7639)</f>
        <v>82024.147169999982</v>
      </c>
      <c r="E30" s="651">
        <f>SUM(E31*10.7639)</f>
        <v>71470.143219999984</v>
      </c>
      <c r="F30" s="651">
        <f>SUM(F31*10.7639)</f>
        <v>18774.394380000002</v>
      </c>
      <c r="G30" s="217">
        <f>SUM(C30:F30)</f>
        <v>244278.09937999991</v>
      </c>
      <c r="H30" s="1146"/>
      <c r="J30" s="157" t="s">
        <v>28</v>
      </c>
      <c r="K30" s="105">
        <f>'Plot By Plot SoA'!V7</f>
        <v>0</v>
      </c>
      <c r="L30" s="105">
        <f>'Plot By Plot SoA'!W7</f>
        <v>0</v>
      </c>
      <c r="M30" s="105">
        <f>'Plot By Plot SoA'!X7</f>
        <v>22</v>
      </c>
      <c r="N30" s="105">
        <f>'Plot By Plot SoA'!Y7</f>
        <v>6</v>
      </c>
      <c r="O30" s="105">
        <f>'Plot By Plot SoA'!Z7</f>
        <v>111</v>
      </c>
      <c r="P30" s="482">
        <f>SUM(K30:O30)</f>
        <v>139</v>
      </c>
    </row>
    <row r="31" spans="1:16" ht="16.5" x14ac:dyDescent="0.35">
      <c r="A31" s="188"/>
      <c r="B31" s="197" t="s">
        <v>41</v>
      </c>
      <c r="C31" s="652">
        <f>SUM(C18+C5)</f>
        <v>6689.8999999999942</v>
      </c>
      <c r="D31" s="653">
        <f>SUM(D18+D5)</f>
        <v>7620.2999999999993</v>
      </c>
      <c r="E31" s="653">
        <f>SUM(E18+E5)</f>
        <v>6639.7999999999984</v>
      </c>
      <c r="F31" s="653">
        <f>SUM(F18+F5)</f>
        <v>1744.2000000000003</v>
      </c>
      <c r="G31" s="218">
        <f>SUM(C31:F31)</f>
        <v>22694.199999999993</v>
      </c>
      <c r="H31" s="1146"/>
      <c r="J31" s="157" t="s">
        <v>29</v>
      </c>
      <c r="K31" s="105">
        <f>'Plot By Plot SoA'!V8</f>
        <v>44</v>
      </c>
      <c r="L31" s="105">
        <f>'Plot By Plot SoA'!W8</f>
        <v>3</v>
      </c>
      <c r="M31" s="105">
        <f>'Plot By Plot SoA'!X8</f>
        <v>23</v>
      </c>
      <c r="N31" s="105">
        <f>'Plot By Plot SoA'!Y8</f>
        <v>20</v>
      </c>
      <c r="O31" s="105">
        <f>'Plot By Plot SoA'!Z8</f>
        <v>6</v>
      </c>
      <c r="P31" s="483">
        <f>SUM(K31:O31)</f>
        <v>96</v>
      </c>
    </row>
    <row r="32" spans="1:16" ht="16.5" x14ac:dyDescent="0.35">
      <c r="A32" s="188"/>
      <c r="B32" s="198" t="s">
        <v>81</v>
      </c>
      <c r="C32" s="654">
        <f>SUM(C30/C29)</f>
        <v>518.05334251798513</v>
      </c>
      <c r="D32" s="655">
        <f>SUM(D30/D29)</f>
        <v>854.41819968749985</v>
      </c>
      <c r="E32" s="655">
        <f>SUM(E30/E29)</f>
        <v>1035.799177101449</v>
      </c>
      <c r="F32" s="655">
        <f>SUM(F30/F29)</f>
        <v>1444.1841830769231</v>
      </c>
      <c r="G32" s="219" t="s">
        <v>79</v>
      </c>
      <c r="H32" s="1146"/>
      <c r="J32" s="157" t="s">
        <v>30</v>
      </c>
      <c r="K32" s="105">
        <f>'Plot By Plot SoA'!V9</f>
        <v>47</v>
      </c>
      <c r="L32" s="105">
        <f>'Plot By Plot SoA'!W9</f>
        <v>0</v>
      </c>
      <c r="M32" s="105">
        <f>'Plot By Plot SoA'!X9</f>
        <v>18</v>
      </c>
      <c r="N32" s="105">
        <f>'Plot By Plot SoA'!Y9</f>
        <v>2</v>
      </c>
      <c r="O32" s="72">
        <f>'Plot By Plot SoA'!Z9</f>
        <v>2</v>
      </c>
      <c r="P32" s="73">
        <f>SUM(K32:O32)</f>
        <v>69</v>
      </c>
    </row>
    <row r="33" spans="1:16" ht="17.25" thickBot="1" x14ac:dyDescent="0.4">
      <c r="A33" s="189"/>
      <c r="B33" s="199" t="s">
        <v>76</v>
      </c>
      <c r="C33" s="656">
        <f>SUM(C31/C29)</f>
        <v>48.128776978417221</v>
      </c>
      <c r="D33" s="657">
        <f>SUM(D31/D29)</f>
        <v>79.378124999999997</v>
      </c>
      <c r="E33" s="657">
        <f>SUM(E31/E29)</f>
        <v>96.22898550724635</v>
      </c>
      <c r="F33" s="657">
        <f>SUM(F31/F29)</f>
        <v>134.16923076923078</v>
      </c>
      <c r="G33" s="220" t="s">
        <v>79</v>
      </c>
      <c r="H33" s="1147"/>
      <c r="J33" s="167" t="s">
        <v>62</v>
      </c>
      <c r="K33" s="170">
        <f>'Plot By Plot SoA'!V10</f>
        <v>13</v>
      </c>
      <c r="L33" s="163">
        <f>'Plot By Plot SoA'!W10</f>
        <v>0</v>
      </c>
      <c r="M33" s="163">
        <f>'Plot By Plot SoA'!X10</f>
        <v>0</v>
      </c>
      <c r="N33" s="163">
        <f>'Plot By Plot SoA'!Y10</f>
        <v>0</v>
      </c>
      <c r="O33" s="163">
        <f>'Plot By Plot SoA'!Z10</f>
        <v>0</v>
      </c>
      <c r="P33" s="174">
        <f>SUM(K33:O33)</f>
        <v>13</v>
      </c>
    </row>
    <row r="34" spans="1:16" ht="15.75" thickBot="1" x14ac:dyDescent="0.3">
      <c r="A34" s="1148"/>
      <c r="B34" s="1148"/>
      <c r="C34" s="1148"/>
      <c r="D34" s="1148"/>
      <c r="E34" s="1148"/>
      <c r="F34" s="1148"/>
      <c r="G34" s="1148"/>
      <c r="H34" s="1148"/>
      <c r="J34" s="158" t="s">
        <v>52</v>
      </c>
      <c r="K34" s="156">
        <f>SUM(K30:K33)</f>
        <v>104</v>
      </c>
      <c r="L34" s="156">
        <f>SUM(L30:L33)</f>
        <v>3</v>
      </c>
      <c r="M34" s="156">
        <f>SUM(M30:M33)</f>
        <v>63</v>
      </c>
      <c r="N34" s="156">
        <f>SUM(N30:N33)</f>
        <v>28</v>
      </c>
      <c r="O34" s="156">
        <f>SUM(O30:O33)</f>
        <v>119</v>
      </c>
      <c r="P34" s="155">
        <f>SUM(K34:O34)</f>
        <v>317</v>
      </c>
    </row>
    <row r="35" spans="1:16" x14ac:dyDescent="0.25">
      <c r="A35" s="1149"/>
      <c r="B35" s="1149"/>
      <c r="C35" s="1149"/>
      <c r="D35" s="1149"/>
      <c r="E35" s="1149"/>
      <c r="F35" s="1149"/>
      <c r="G35" s="1149"/>
      <c r="H35" s="1149"/>
    </row>
    <row r="36" spans="1:16" x14ac:dyDescent="0.25">
      <c r="A36" s="1149"/>
      <c r="B36" s="1149"/>
      <c r="C36" s="1149"/>
      <c r="D36" s="1149"/>
      <c r="E36" s="1149"/>
      <c r="F36" s="1149"/>
      <c r="G36" s="1149"/>
      <c r="H36" s="1149"/>
    </row>
    <row r="37" spans="1:16" x14ac:dyDescent="0.25">
      <c r="A37" s="1149"/>
      <c r="B37" s="1149"/>
      <c r="C37" s="1149"/>
      <c r="D37" s="1149"/>
      <c r="E37" s="1149"/>
      <c r="F37" s="1149"/>
      <c r="G37" s="1149"/>
      <c r="H37" s="1149"/>
    </row>
    <row r="42" spans="1:16" x14ac:dyDescent="0.25">
      <c r="J42" s="248"/>
      <c r="K42" s="248"/>
      <c r="L42" s="248"/>
      <c r="M42" s="248"/>
      <c r="N42" s="248"/>
      <c r="O42" s="248"/>
    </row>
    <row r="43" spans="1:16" x14ac:dyDescent="0.25">
      <c r="J43" s="105"/>
      <c r="K43" s="105"/>
      <c r="L43" s="105"/>
      <c r="M43" s="105"/>
      <c r="N43" s="105"/>
      <c r="O43" s="105"/>
    </row>
    <row r="44" spans="1:16" x14ac:dyDescent="0.25">
      <c r="J44" s="105"/>
      <c r="K44" s="105"/>
      <c r="L44" s="105"/>
      <c r="M44" s="105"/>
      <c r="N44" s="105"/>
      <c r="O44" s="105"/>
    </row>
    <row r="45" spans="1:16" x14ac:dyDescent="0.25">
      <c r="J45" s="105"/>
      <c r="K45" s="105"/>
      <c r="L45" s="105"/>
      <c r="M45" s="105"/>
      <c r="N45" s="105"/>
      <c r="O45" s="105"/>
    </row>
    <row r="46" spans="1:16" x14ac:dyDescent="0.25">
      <c r="J46" s="105"/>
      <c r="K46" s="105"/>
      <c r="L46" s="105"/>
      <c r="M46" s="105"/>
      <c r="N46" s="105"/>
      <c r="O46" s="105"/>
    </row>
    <row r="47" spans="1:16" x14ac:dyDescent="0.25">
      <c r="J47" s="105"/>
      <c r="K47" s="105"/>
      <c r="L47" s="105"/>
      <c r="M47" s="105"/>
      <c r="N47" s="105"/>
      <c r="O47" s="105"/>
    </row>
    <row r="48" spans="1:16" x14ac:dyDescent="0.25">
      <c r="J48" s="105"/>
      <c r="K48" s="105"/>
      <c r="L48" s="105"/>
      <c r="M48" s="105"/>
      <c r="N48" s="105"/>
      <c r="O48" s="105"/>
    </row>
  </sheetData>
  <mergeCells count="18">
    <mergeCell ref="A34:H37"/>
    <mergeCell ref="A27:H27"/>
    <mergeCell ref="A28:B28"/>
    <mergeCell ref="A1:H1"/>
    <mergeCell ref="A8:H11"/>
    <mergeCell ref="A15:B15"/>
    <mergeCell ref="A16:B16"/>
    <mergeCell ref="H16:H20"/>
    <mergeCell ref="A2:B2"/>
    <mergeCell ref="A3:B3"/>
    <mergeCell ref="H3:H7"/>
    <mergeCell ref="A21:H24"/>
    <mergeCell ref="A14:H14"/>
    <mergeCell ref="J28:P28"/>
    <mergeCell ref="J2:P2"/>
    <mergeCell ref="J15:P15"/>
    <mergeCell ref="A29:B29"/>
    <mergeCell ref="H29:H33"/>
  </mergeCells>
  <pageMargins left="0.7" right="0.7" top="0.75" bottom="0.75" header="0.3" footer="0.3"/>
  <pageSetup paperSize="8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9DB09-3DB7-4998-A9C0-096329793345}">
  <sheetPr>
    <pageSetUpPr fitToPage="1"/>
  </sheetPr>
  <dimension ref="A1:P38"/>
  <sheetViews>
    <sheetView workbookViewId="0">
      <selection activeCell="J22" sqref="J22"/>
    </sheetView>
  </sheetViews>
  <sheetFormatPr defaultColWidth="9.140625" defaultRowHeight="16.5" x14ac:dyDescent="0.3"/>
  <cols>
    <col min="1" max="1" width="30.7109375" style="2" customWidth="1"/>
    <col min="2" max="2" width="11.140625" style="2" customWidth="1"/>
    <col min="3" max="3" width="10.7109375" style="2" customWidth="1"/>
    <col min="4" max="4" width="9.140625" style="2"/>
    <col min="5" max="6" width="11.42578125" style="2" customWidth="1"/>
    <col min="7" max="7" width="11.28515625" style="2" customWidth="1"/>
    <col min="8" max="8" width="10.85546875" style="2" customWidth="1"/>
    <col min="9" max="9" width="11.140625" style="2" customWidth="1"/>
    <col min="10" max="10" width="11" style="2" customWidth="1"/>
    <col min="11" max="16384" width="9.140625" style="2"/>
  </cols>
  <sheetData>
    <row r="1" spans="1:15" ht="16.5" customHeight="1" x14ac:dyDescent="0.3">
      <c r="A1" s="1189"/>
      <c r="B1" s="1167" t="s">
        <v>96</v>
      </c>
      <c r="C1" s="1168"/>
      <c r="D1" s="1168"/>
      <c r="E1" s="1168"/>
      <c r="F1" s="1168"/>
      <c r="G1" s="1168"/>
      <c r="H1" s="1168"/>
      <c r="I1" s="1168"/>
      <c r="J1" s="1168"/>
      <c r="K1" s="1168"/>
      <c r="L1" s="1168"/>
      <c r="M1" s="1168"/>
      <c r="N1" s="1169"/>
    </row>
    <row r="2" spans="1:15" ht="17.25" customHeight="1" thickBot="1" x14ac:dyDescent="0.35">
      <c r="A2" s="1190"/>
      <c r="B2" s="1170"/>
      <c r="C2" s="1171"/>
      <c r="D2" s="1171"/>
      <c r="E2" s="1171"/>
      <c r="F2" s="1171"/>
      <c r="G2" s="1171"/>
      <c r="H2" s="1171"/>
      <c r="I2" s="1171"/>
      <c r="J2" s="1171"/>
      <c r="K2" s="1171"/>
      <c r="L2" s="1171"/>
      <c r="M2" s="1171"/>
      <c r="N2" s="1172"/>
    </row>
    <row r="3" spans="1:15" x14ac:dyDescent="0.3">
      <c r="A3" s="1190"/>
      <c r="B3" s="1192" t="s">
        <v>40</v>
      </c>
      <c r="C3" s="1194" t="s">
        <v>41</v>
      </c>
      <c r="D3" s="1196" t="s">
        <v>42</v>
      </c>
      <c r="E3" s="1173" t="s">
        <v>15</v>
      </c>
      <c r="F3" s="1173" t="s">
        <v>324</v>
      </c>
      <c r="G3" s="1173" t="s">
        <v>3</v>
      </c>
      <c r="H3" s="1173" t="s">
        <v>16</v>
      </c>
      <c r="I3" s="1175" t="s">
        <v>17</v>
      </c>
      <c r="J3" s="1177" t="s">
        <v>2</v>
      </c>
      <c r="K3" s="1178"/>
      <c r="L3" s="1178"/>
      <c r="M3" s="1178"/>
      <c r="N3" s="1179"/>
    </row>
    <row r="4" spans="1:15" ht="33" customHeight="1" thickBot="1" x14ac:dyDescent="0.35">
      <c r="A4" s="1191"/>
      <c r="B4" s="1193"/>
      <c r="C4" s="1195"/>
      <c r="D4" s="1197"/>
      <c r="E4" s="1174"/>
      <c r="F4" s="1174"/>
      <c r="G4" s="1174"/>
      <c r="H4" s="1174"/>
      <c r="I4" s="1176"/>
      <c r="J4" s="1180"/>
      <c r="K4" s="1181"/>
      <c r="L4" s="1181"/>
      <c r="M4" s="1181"/>
      <c r="N4" s="1182"/>
    </row>
    <row r="5" spans="1:15" ht="18" thickTop="1" thickBot="1" x14ac:dyDescent="0.35">
      <c r="A5" s="602" t="s">
        <v>43</v>
      </c>
      <c r="B5" s="603"/>
      <c r="C5" s="604"/>
      <c r="D5" s="605"/>
      <c r="E5" s="606"/>
      <c r="F5" s="606"/>
      <c r="G5" s="606"/>
      <c r="H5" s="606"/>
      <c r="I5" s="606"/>
      <c r="J5" s="607">
        <v>1</v>
      </c>
      <c r="K5" s="608">
        <v>2</v>
      </c>
      <c r="L5" s="608">
        <v>3</v>
      </c>
      <c r="M5" s="609">
        <v>4</v>
      </c>
      <c r="N5" s="610">
        <v>5</v>
      </c>
    </row>
    <row r="6" spans="1:15" ht="17.25" x14ac:dyDescent="0.35">
      <c r="A6" s="611" t="s">
        <v>19</v>
      </c>
      <c r="B6" s="36">
        <f>COUNTA('Plot By Plot SoA'!C6:C10,'Plot By Plot SoA'!C21:C32)</f>
        <v>16</v>
      </c>
      <c r="C6" s="612">
        <f>SUM('Plot By Plot SoA'!D6:D10,'Plot By Plot SoA'!D21:D32)</f>
        <v>1378.7</v>
      </c>
      <c r="D6" s="613">
        <f t="shared" ref="D6:D11" si="0">SUM(C6*10.7639)</f>
        <v>14840.18893</v>
      </c>
      <c r="E6" s="614">
        <f>COUNTA('Plot By Plot SoA'!F6:F10,'Plot By Plot SoA'!F21:F32)</f>
        <v>11</v>
      </c>
      <c r="F6" s="614">
        <f>COUNTA('Plot By Plot SoA'!G6:G10,'Plot By Plot SoA'!G21:G32)</f>
        <v>0</v>
      </c>
      <c r="G6" s="614">
        <f>COUNTA('Plot By Plot SoA'!H6:H10,'Plot By Plot SoA'!H21:H32)</f>
        <v>5</v>
      </c>
      <c r="H6" s="614">
        <f>COUNTA('Plot By Plot SoA'!I6:I10,'Plot By Plot SoA'!I21:I32)</f>
        <v>0</v>
      </c>
      <c r="I6" s="37">
        <f>COUNTA('Plot By Plot SoA'!J6:J10,'Plot By Plot SoA'!J21:J32)</f>
        <v>0</v>
      </c>
      <c r="J6" s="615">
        <f>COUNTA('Plot By Plot SoA'!L6:L10,'Plot By Plot SoA'!L21:L32)</f>
        <v>1</v>
      </c>
      <c r="K6" s="616">
        <f>COUNTA('Plot By Plot SoA'!M6:M10,'Plot By Plot SoA'!M21:M32)</f>
        <v>11</v>
      </c>
      <c r="L6" s="616">
        <f>COUNTA('Plot By Plot SoA'!N6:N10,'Plot By Plot SoA'!N21:N32)</f>
        <v>3</v>
      </c>
      <c r="M6" s="616">
        <f>COUNTA('Plot By Plot SoA'!O6:O10,'Plot By Plot SoA'!O21:O32)</f>
        <v>1</v>
      </c>
      <c r="N6" s="37">
        <f>COUNTA('Plot By Plot SoA'!P6:P10,'Plot By Plot SoA'!P21:P32)</f>
        <v>0</v>
      </c>
    </row>
    <row r="7" spans="1:15" ht="17.25" x14ac:dyDescent="0.35">
      <c r="A7" s="611" t="s">
        <v>44</v>
      </c>
      <c r="B7" s="36">
        <f>COUNTA('Plot By Plot SoA'!C11:C20)</f>
        <v>9</v>
      </c>
      <c r="C7" s="38">
        <f>SUM('Plot By Plot SoA'!D11:D20)</f>
        <v>794.09999999999991</v>
      </c>
      <c r="D7" s="39">
        <f t="shared" si="0"/>
        <v>8547.6129899999978</v>
      </c>
      <c r="E7" s="36">
        <f>COUNTA('Plot By Plot SoA'!F11:F20)</f>
        <v>6</v>
      </c>
      <c r="F7" s="36">
        <f>COUNTA('Plot By Plot SoA'!G11:G20)</f>
        <v>0</v>
      </c>
      <c r="G7" s="36">
        <f>COUNTA('Plot By Plot SoA'!H11:H20)</f>
        <v>3</v>
      </c>
      <c r="H7" s="36">
        <f>COUNTA('Plot By Plot SoA'!I11:I20)</f>
        <v>0</v>
      </c>
      <c r="I7" s="37">
        <f>COUNTA('Plot By Plot SoA'!J11:J20)</f>
        <v>0</v>
      </c>
      <c r="J7" s="40">
        <f>COUNTA('Plot By Plot SoA'!L11:L20)</f>
        <v>1</v>
      </c>
      <c r="K7" s="41">
        <f>COUNTA('Plot By Plot SoA'!M11:M20)</f>
        <v>5</v>
      </c>
      <c r="L7" s="41">
        <f>COUNTA('Plot By Plot SoA'!N11:N20)</f>
        <v>2</v>
      </c>
      <c r="M7" s="41">
        <f>COUNTA('Plot By Plot SoA'!O11:O20)</f>
        <v>1</v>
      </c>
      <c r="N7" s="37">
        <f>COUNTA('Plot By Plot SoA'!P11:P20)</f>
        <v>0</v>
      </c>
    </row>
    <row r="8" spans="1:15" ht="17.25" x14ac:dyDescent="0.35">
      <c r="A8" s="611" t="s">
        <v>20</v>
      </c>
      <c r="B8" s="36">
        <f>COUNTA('Plot By Plot SoA'!C33:C50)</f>
        <v>17</v>
      </c>
      <c r="C8" s="38">
        <f>SUM('Plot By Plot SoA'!D33:D50)</f>
        <v>1543.8</v>
      </c>
      <c r="D8" s="39">
        <f t="shared" si="0"/>
        <v>16617.308819999998</v>
      </c>
      <c r="E8" s="36">
        <f>COUNTA('Plot By Plot SoA'!F33:F50)</f>
        <v>10</v>
      </c>
      <c r="F8" s="36">
        <f>COUNTA('Plot By Plot SoA'!G33:G50)</f>
        <v>0</v>
      </c>
      <c r="G8" s="36">
        <f>COUNTA('Plot By Plot SoA'!H33:H50)</f>
        <v>7</v>
      </c>
      <c r="H8" s="36">
        <f>COUNTA('Plot By Plot SoA'!I33:I50)</f>
        <v>0</v>
      </c>
      <c r="I8" s="37">
        <f>COUNTA('Plot By Plot SoA'!J33:J50)</f>
        <v>0</v>
      </c>
      <c r="J8" s="40">
        <f>COUNTA('Plot By Plot SoA'!L33:L50)</f>
        <v>1</v>
      </c>
      <c r="K8" s="41">
        <f>COUNTA('Plot By Plot SoA'!M33:M50)</f>
        <v>5</v>
      </c>
      <c r="L8" s="41">
        <f>COUNTA('Plot By Plot SoA'!N33:N50)</f>
        <v>10</v>
      </c>
      <c r="M8" s="41">
        <f>COUNTA('Plot By Plot SoA'!O33:O50)</f>
        <v>1</v>
      </c>
      <c r="N8" s="37">
        <f>COUNTA('Plot By Plot SoA'!P33:P50)</f>
        <v>0</v>
      </c>
    </row>
    <row r="9" spans="1:15" ht="17.25" x14ac:dyDescent="0.35">
      <c r="A9" s="611" t="s">
        <v>23</v>
      </c>
      <c r="B9" s="36">
        <f>COUNTA('Plot By Plot SoA'!C51:C99)</f>
        <v>44</v>
      </c>
      <c r="C9" s="38">
        <f>SUM('Plot By Plot SoA'!D51:D99)</f>
        <v>3999.6999999999989</v>
      </c>
      <c r="D9" s="39">
        <f t="shared" si="0"/>
        <v>43052.370829999985</v>
      </c>
      <c r="E9" s="36">
        <f>COUNTA('Plot By Plot SoA'!F51:F99)</f>
        <v>25</v>
      </c>
      <c r="F9" s="36">
        <f>COUNTA('Plot By Plot SoA'!G51:G99)</f>
        <v>0</v>
      </c>
      <c r="G9" s="36">
        <f>COUNTA('Plot By Plot SoA'!H51:H99)</f>
        <v>19</v>
      </c>
      <c r="H9" s="36">
        <f>COUNTA('Plot By Plot SoA'!I51:I99)</f>
        <v>0</v>
      </c>
      <c r="I9" s="37">
        <f>COUNTA('Plot By Plot SoA'!J51:J99)</f>
        <v>0</v>
      </c>
      <c r="J9" s="40">
        <f>COUNTA('Plot By Plot SoA'!L51:L99)</f>
        <v>5</v>
      </c>
      <c r="K9" s="41">
        <f>COUNTA('Plot By Plot SoA'!M51:M99)</f>
        <v>13</v>
      </c>
      <c r="L9" s="41">
        <f>COUNTA('Plot By Plot SoA'!N51:N99)</f>
        <v>21</v>
      </c>
      <c r="M9" s="41">
        <f>COUNTA('Plot By Plot SoA'!O51:O99)</f>
        <v>5</v>
      </c>
      <c r="N9" s="37">
        <f>COUNTA('Plot By Plot SoA'!P51:P99)</f>
        <v>0</v>
      </c>
    </row>
    <row r="10" spans="1:15" ht="17.25" x14ac:dyDescent="0.35">
      <c r="A10" s="611" t="s">
        <v>107</v>
      </c>
      <c r="B10" s="36">
        <f>COUNTA('Plot By Plot SoA'!C247:C328)</f>
        <v>82</v>
      </c>
      <c r="C10" s="38">
        <f>SUM('Plot By Plot SoA'!D247:D328)</f>
        <v>4229.2000000000016</v>
      </c>
      <c r="D10" s="39">
        <f t="shared" si="0"/>
        <v>45522.685880000019</v>
      </c>
      <c r="E10" s="36">
        <f>COUNTA('Plot By Plot SoA'!F247:F328)</f>
        <v>0</v>
      </c>
      <c r="F10" s="36">
        <f>COUNTA('Plot By Plot SoA'!G247:G328)</f>
        <v>0</v>
      </c>
      <c r="G10" s="36">
        <f>COUNTA('Plot By Plot SoA'!H247:H328)</f>
        <v>3</v>
      </c>
      <c r="H10" s="36">
        <f>COUNTA('Plot By Plot SoA'!I247:I328)</f>
        <v>17</v>
      </c>
      <c r="I10" s="37">
        <f>COUNTA('Plot By Plot SoA'!J247:J328)</f>
        <v>62</v>
      </c>
      <c r="J10" s="40">
        <f>COUNTA('Plot By Plot SoA'!L247:L328)</f>
        <v>69</v>
      </c>
      <c r="K10" s="41">
        <f>COUNTA('Plot By Plot SoA'!M247:M328)</f>
        <v>11</v>
      </c>
      <c r="L10" s="41">
        <f>COUNTA('Plot By Plot SoA'!N247:N328)</f>
        <v>2</v>
      </c>
      <c r="M10" s="41">
        <f>COUNTA('Plot By Plot SoA'!O247:O328)</f>
        <v>0</v>
      </c>
      <c r="N10" s="37">
        <f>COUNTA('Plot By Plot SoA'!P247:P328)</f>
        <v>0</v>
      </c>
      <c r="O10" s="232"/>
    </row>
    <row r="11" spans="1:15" ht="17.25" x14ac:dyDescent="0.35">
      <c r="A11" s="617" t="s">
        <v>125</v>
      </c>
      <c r="B11" s="36">
        <f>COUNTA('Plot By Plot SoA'!C329:C353)</f>
        <v>19</v>
      </c>
      <c r="C11" s="38">
        <f>SUM('Plot By Plot SoA'!D329:D353)</f>
        <v>1417.4999999999998</v>
      </c>
      <c r="D11" s="39">
        <f t="shared" si="0"/>
        <v>15257.828249999997</v>
      </c>
      <c r="E11" s="36">
        <f>COUNTA('Plot By Plot SoA'!F329:F353)</f>
        <v>6</v>
      </c>
      <c r="F11" s="36">
        <f>COUNTA('Plot By Plot SoA'!G329:G353)</f>
        <v>0</v>
      </c>
      <c r="G11" s="36">
        <f>COUNTA('Plot By Plot SoA'!H329:H353)</f>
        <v>8</v>
      </c>
      <c r="H11" s="36">
        <f>COUNTA('Plot By Plot SoA'!I329:I353)</f>
        <v>1</v>
      </c>
      <c r="I11" s="37">
        <f>COUNTA('Plot By Plot SoA'!J329:J353)</f>
        <v>4</v>
      </c>
      <c r="J11" s="40">
        <f>COUNTA('Plot By Plot SoA'!L329:L353)</f>
        <v>8</v>
      </c>
      <c r="K11" s="41">
        <f>COUNTA('Plot By Plot SoA'!M329:M353)</f>
        <v>2</v>
      </c>
      <c r="L11" s="41">
        <f>COUNTA('Plot By Plot SoA'!N329:N353)</f>
        <v>9</v>
      </c>
      <c r="M11" s="41">
        <f>COUNTA('Plot By Plot SoA'!O329:O353)</f>
        <v>0</v>
      </c>
      <c r="N11" s="37">
        <f>COUNTA('Plot By Plot SoA'!P329:P353)</f>
        <v>0</v>
      </c>
    </row>
    <row r="12" spans="1:15" ht="17.25" x14ac:dyDescent="0.35">
      <c r="A12" s="611" t="s">
        <v>45</v>
      </c>
      <c r="B12" s="36">
        <f>COUNTA('Plot By Plot SoA'!C100:C139,'Plot By Plot SoA'!C173:C193)</f>
        <v>50</v>
      </c>
      <c r="C12" s="38">
        <f>SUM('Plot By Plot SoA'!D100:D139,'Plot By Plot SoA'!D173:D193)</f>
        <v>3914.1999999999985</v>
      </c>
      <c r="D12" s="39">
        <f>SUM(C12*10.7639)</f>
        <v>42132.057379999984</v>
      </c>
      <c r="E12" s="36">
        <f>COUNTA('Plot By Plot SoA'!F100:F139,'Plot By Plot SoA'!F173:F193)</f>
        <v>22</v>
      </c>
      <c r="F12" s="36">
        <f>COUNTA('Plot By Plot SoA'!G100:G139,'Plot By Plot SoA'!G173:G193)</f>
        <v>1</v>
      </c>
      <c r="G12" s="36">
        <f>COUNTA('Plot By Plot SoA'!H100:H139,'Plot By Plot SoA'!H173:H193)</f>
        <v>12</v>
      </c>
      <c r="H12" s="36">
        <f>COUNTA('Plot By Plot SoA'!I100:I139,'Plot By Plot SoA'!I173:I193)</f>
        <v>5</v>
      </c>
      <c r="I12" s="37">
        <f>COUNTA('Plot By Plot SoA'!J100:J139,'Plot By Plot SoA'!J173:J193)</f>
        <v>10</v>
      </c>
      <c r="J12" s="40">
        <f>COUNTA('Plot By Plot SoA'!L100:L139,'Plot By Plot SoA'!L173:L193)</f>
        <v>14</v>
      </c>
      <c r="K12" s="41">
        <f>COUNTA('Plot By Plot SoA'!M100:M139,'Plot By Plot SoA'!M173:M193)</f>
        <v>21</v>
      </c>
      <c r="L12" s="41">
        <f>COUNTA('Plot By Plot SoA'!N100:N139,'Plot By Plot SoA'!N173:N193)</f>
        <v>11</v>
      </c>
      <c r="M12" s="41">
        <f>COUNTA('Plot By Plot SoA'!O100:O139,'Plot By Plot SoA'!O173:O193)</f>
        <v>4</v>
      </c>
      <c r="N12" s="37">
        <f>COUNTA('Plot By Plot SoA'!P100:P139,'Plot By Plot SoA'!P173:P193)</f>
        <v>0</v>
      </c>
    </row>
    <row r="13" spans="1:15" ht="17.25" x14ac:dyDescent="0.35">
      <c r="A13" s="611" t="s">
        <v>26</v>
      </c>
      <c r="B13" s="36">
        <f>COUNTA('Plot By Plot SoA'!C194:C246)</f>
        <v>53</v>
      </c>
      <c r="C13" s="38">
        <f>SUM('Plot By Plot SoA'!D194:D246)</f>
        <v>3033.2999999999984</v>
      </c>
      <c r="D13" s="39">
        <f>SUM(C13*10.7639)</f>
        <v>32650.13786999998</v>
      </c>
      <c r="E13" s="36">
        <f>COUNTA('Plot By Plot SoA'!F194:F246)</f>
        <v>0</v>
      </c>
      <c r="F13" s="36">
        <f>COUNTA('Plot By Plot SoA'!G194:G246)</f>
        <v>0</v>
      </c>
      <c r="G13" s="36">
        <f>COUNTA('Plot By Plot SoA'!H194:H246)</f>
        <v>5</v>
      </c>
      <c r="H13" s="36">
        <f>COUNTA('Plot By Plot SoA'!I194:I246)</f>
        <v>5</v>
      </c>
      <c r="I13" s="37">
        <f>COUNTA('Plot By Plot SoA'!J194:J246)</f>
        <v>43</v>
      </c>
      <c r="J13" s="40">
        <f>COUNTA('Plot By Plot SoA'!L194:L246)</f>
        <v>40</v>
      </c>
      <c r="K13" s="41">
        <f>COUNTA('Plot By Plot SoA'!M194:M246)</f>
        <v>12</v>
      </c>
      <c r="L13" s="41">
        <f>COUNTA('Plot By Plot SoA'!N194:N246)</f>
        <v>1</v>
      </c>
      <c r="M13" s="41">
        <f>COUNTA('Plot By Plot SoA'!O194:O246)</f>
        <v>0</v>
      </c>
      <c r="N13" s="37">
        <f>COUNTA('Plot By Plot SoA'!P194:P246)</f>
        <v>0</v>
      </c>
    </row>
    <row r="14" spans="1:15" ht="17.25" x14ac:dyDescent="0.35">
      <c r="A14" s="611" t="s">
        <v>21</v>
      </c>
      <c r="B14" s="98">
        <f>COUNTA('Plot By Plot SoA'!C140:C172)</f>
        <v>27</v>
      </c>
      <c r="C14" s="38">
        <f>SUM('Plot By Plot SoA'!D140:D172)</f>
        <v>2383.6999999999998</v>
      </c>
      <c r="D14" s="39">
        <f>SUM(C14*10.7639)</f>
        <v>25657.908429999996</v>
      </c>
      <c r="E14" s="36">
        <f>COUNTA('Plot By Plot SoA'!F140:F172)</f>
        <v>24</v>
      </c>
      <c r="F14" s="36">
        <f>COUNTA('Plot By Plot SoA'!G140:G172)</f>
        <v>2</v>
      </c>
      <c r="G14" s="36">
        <f>COUNTA('Plot By Plot SoA'!H140:H172)</f>
        <v>1</v>
      </c>
      <c r="H14" s="36">
        <f>COUNTA('Plot By Plot SoA'!I140:I172)</f>
        <v>0</v>
      </c>
      <c r="I14" s="37">
        <f>COUNTA('Plot By Plot SoA'!J140:J172)</f>
        <v>0</v>
      </c>
      <c r="J14" s="40">
        <f>COUNTA('Plot By Plot SoA'!L140:L172)</f>
        <v>0</v>
      </c>
      <c r="K14" s="41">
        <f>COUNTA('Plot By Plot SoA'!M140:M172)</f>
        <v>16</v>
      </c>
      <c r="L14" s="41">
        <f>COUNTA('Plot By Plot SoA'!N140:N172)</f>
        <v>10</v>
      </c>
      <c r="M14" s="41">
        <f>COUNTA('Plot By Plot SoA'!O140:O172)</f>
        <v>1</v>
      </c>
      <c r="N14" s="37">
        <f>COUNTA('Plot By Plot SoA'!P140:P172)</f>
        <v>0</v>
      </c>
      <c r="O14" s="292"/>
    </row>
    <row r="15" spans="1:15" ht="17.25" x14ac:dyDescent="0.35">
      <c r="A15" s="629" t="s">
        <v>14</v>
      </c>
      <c r="B15" s="630">
        <f>COUNTA('[1]Plot By Plot SoA'!B328)</f>
        <v>1</v>
      </c>
      <c r="C15" s="631">
        <f>SUM('[1]Plot By Plot SoA'!C328)</f>
        <v>169.5</v>
      </c>
      <c r="D15" s="632">
        <f>SUM(C15*10.7639)</f>
        <v>1824.4810499999999</v>
      </c>
      <c r="E15" s="599"/>
      <c r="F15" s="599"/>
      <c r="G15" s="599"/>
      <c r="H15" s="36"/>
      <c r="I15" s="223"/>
      <c r="J15" s="40"/>
      <c r="K15" s="136"/>
      <c r="L15" s="136"/>
      <c r="M15" s="136"/>
      <c r="N15" s="37"/>
    </row>
    <row r="16" spans="1:15" ht="18" thickBot="1" x14ac:dyDescent="0.4">
      <c r="A16" s="633" t="s">
        <v>329</v>
      </c>
      <c r="B16" s="634">
        <f>COUNTA('[1]Plot By Plot SoA'!B323:B327)</f>
        <v>5</v>
      </c>
      <c r="C16" s="635">
        <f>'Commercial Units'!D11</f>
        <v>309.82</v>
      </c>
      <c r="D16" s="632">
        <f>SUM(C16*10.7639)</f>
        <v>3334.871498</v>
      </c>
      <c r="E16" s="600"/>
      <c r="F16" s="600"/>
      <c r="G16" s="600"/>
      <c r="H16" s="618"/>
      <c r="I16" s="619"/>
      <c r="J16" s="43"/>
      <c r="K16" s="66"/>
      <c r="L16" s="66"/>
      <c r="M16" s="66"/>
      <c r="N16" s="601"/>
    </row>
    <row r="17" spans="1:16" ht="17.25" thickBot="1" x14ac:dyDescent="0.35">
      <c r="A17" s="620" t="s">
        <v>5</v>
      </c>
      <c r="B17" s="621">
        <f>SUM(B6:B14)</f>
        <v>317</v>
      </c>
      <c r="C17" s="622"/>
      <c r="D17" s="623"/>
      <c r="E17" s="623">
        <f t="shared" ref="E17:N17" si="1">SUM(E6:E14)</f>
        <v>104</v>
      </c>
      <c r="F17" s="623">
        <f t="shared" ref="F17" si="2">SUM(F6:F14)</f>
        <v>3</v>
      </c>
      <c r="G17" s="623">
        <f t="shared" si="1"/>
        <v>63</v>
      </c>
      <c r="H17" s="623">
        <f t="shared" si="1"/>
        <v>28</v>
      </c>
      <c r="I17" s="623">
        <f t="shared" si="1"/>
        <v>119</v>
      </c>
      <c r="J17" s="624">
        <f t="shared" si="1"/>
        <v>139</v>
      </c>
      <c r="K17" s="624">
        <f t="shared" si="1"/>
        <v>96</v>
      </c>
      <c r="L17" s="624">
        <f t="shared" si="1"/>
        <v>69</v>
      </c>
      <c r="M17" s="624">
        <f t="shared" si="1"/>
        <v>13</v>
      </c>
      <c r="N17" s="625">
        <f t="shared" si="1"/>
        <v>0</v>
      </c>
      <c r="P17" s="234"/>
    </row>
    <row r="18" spans="1:16" ht="17.25" thickBot="1" x14ac:dyDescent="0.35">
      <c r="A18" s="288" t="s">
        <v>325</v>
      </c>
      <c r="B18" s="1161">
        <f>SUM(D6:D14)</f>
        <v>244278.09937999997</v>
      </c>
      <c r="C18" s="1162"/>
      <c r="D18" s="1162"/>
      <c r="E18" s="1162"/>
      <c r="F18" s="1162"/>
      <c r="G18" s="1162"/>
      <c r="H18" s="1162"/>
      <c r="I18" s="1163"/>
      <c r="J18" s="11">
        <f>SUM(1/J19*J17)</f>
        <v>0.43848580441640378</v>
      </c>
      <c r="K18" s="12">
        <f>SUM(1/J19*K17)</f>
        <v>0.30283911671924291</v>
      </c>
      <c r="L18" s="12">
        <f>SUM(1/J19*L17)</f>
        <v>0.21766561514195584</v>
      </c>
      <c r="M18" s="12">
        <f>SUM(1/J19*M17)</f>
        <v>4.1009463722397478E-2</v>
      </c>
      <c r="N18" s="13">
        <f>SUM(1/J19*N17)</f>
        <v>0</v>
      </c>
    </row>
    <row r="19" spans="1:16" ht="30.75" thickBot="1" x14ac:dyDescent="0.35">
      <c r="A19" s="636" t="s">
        <v>326</v>
      </c>
      <c r="B19" s="1164">
        <f>SUM(D15+D16)</f>
        <v>5159.3525479999998</v>
      </c>
      <c r="C19" s="1165"/>
      <c r="D19" s="1165"/>
      <c r="E19" s="1165"/>
      <c r="F19" s="1165"/>
      <c r="G19" s="1165"/>
      <c r="H19" s="1165"/>
      <c r="I19" s="1166"/>
      <c r="J19" s="1183">
        <f>SUM(J17:N17)</f>
        <v>317</v>
      </c>
      <c r="K19" s="1184"/>
      <c r="L19" s="1184"/>
      <c r="M19" s="1184"/>
      <c r="N19" s="1185"/>
    </row>
    <row r="20" spans="1:16" ht="45.75" thickBot="1" x14ac:dyDescent="0.35">
      <c r="A20" s="637" t="s">
        <v>328</v>
      </c>
      <c r="B20" s="1164">
        <f>SUM('Commercial Units'!E17)</f>
        <v>47338.017615000004</v>
      </c>
      <c r="C20" s="1165"/>
      <c r="D20" s="1165"/>
      <c r="E20" s="1165"/>
      <c r="F20" s="1165"/>
      <c r="G20" s="1165"/>
      <c r="H20" s="1165"/>
      <c r="I20" s="1166"/>
      <c r="J20" s="1186"/>
      <c r="K20" s="1187"/>
      <c r="L20" s="1187"/>
      <c r="M20" s="1187"/>
      <c r="N20" s="1188"/>
    </row>
    <row r="21" spans="1:16" ht="30.75" thickBot="1" x14ac:dyDescent="0.4">
      <c r="A21" s="626" t="s">
        <v>327</v>
      </c>
      <c r="B21" s="1159">
        <f>'Plot By Plot SoA'!M379</f>
        <v>31799.251574999995</v>
      </c>
      <c r="C21" s="1159"/>
      <c r="D21" s="1159"/>
      <c r="E21" s="1159"/>
      <c r="F21" s="1159"/>
      <c r="G21" s="1159"/>
      <c r="H21" s="1159"/>
      <c r="I21" s="1160"/>
      <c r="J21" s="27"/>
      <c r="K21" s="27"/>
      <c r="L21" s="27"/>
      <c r="M21" s="27"/>
      <c r="N21" s="27"/>
    </row>
    <row r="22" spans="1:16" ht="30.75" thickBot="1" x14ac:dyDescent="0.4">
      <c r="A22" s="626" t="s">
        <v>331</v>
      </c>
      <c r="B22" s="1159">
        <f>SUM(B21+B18+B19+B20)</f>
        <v>328574.72111799999</v>
      </c>
      <c r="C22" s="1159"/>
      <c r="D22" s="1159"/>
      <c r="E22" s="1159"/>
      <c r="F22" s="1159"/>
      <c r="G22" s="1159"/>
      <c r="H22" s="1159"/>
      <c r="I22" s="1160"/>
      <c r="J22" s="27"/>
      <c r="K22" s="27"/>
      <c r="L22" s="27"/>
      <c r="M22" s="27"/>
      <c r="N22" s="27"/>
    </row>
    <row r="23" spans="1:16" ht="17.25" x14ac:dyDescent="0.35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</row>
    <row r="24" spans="1:16" ht="17.25" x14ac:dyDescent="0.35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</row>
    <row r="25" spans="1:16" ht="17.25" x14ac:dyDescent="0.35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</row>
    <row r="26" spans="1:16" ht="17.25" x14ac:dyDescent="0.35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</row>
    <row r="27" spans="1:16" ht="17.25" x14ac:dyDescent="0.35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</row>
    <row r="28" spans="1:16" ht="17.25" x14ac:dyDescent="0.35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</row>
    <row r="29" spans="1:16" ht="17.25" x14ac:dyDescent="0.35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</row>
    <row r="30" spans="1:16" ht="17.25" x14ac:dyDescent="0.35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</row>
    <row r="31" spans="1:16" ht="17.25" x14ac:dyDescent="0.35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</row>
    <row r="32" spans="1:16" ht="17.25" x14ac:dyDescent="0.35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</row>
    <row r="33" spans="1:14" ht="17.25" x14ac:dyDescent="0.35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</row>
    <row r="34" spans="1:14" ht="17.25" x14ac:dyDescent="0.35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</row>
    <row r="35" spans="1:14" ht="17.25" x14ac:dyDescent="0.35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</row>
    <row r="36" spans="1:14" ht="17.25" x14ac:dyDescent="0.35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</row>
    <row r="37" spans="1:14" ht="17.25" x14ac:dyDescent="0.35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</row>
    <row r="38" spans="1:14" ht="17.25" x14ac:dyDescent="0.35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</row>
  </sheetData>
  <mergeCells count="17">
    <mergeCell ref="A1:A4"/>
    <mergeCell ref="E3:E4"/>
    <mergeCell ref="B3:B4"/>
    <mergeCell ref="C3:C4"/>
    <mergeCell ref="G3:G4"/>
    <mergeCell ref="D3:D4"/>
    <mergeCell ref="B21:I21"/>
    <mergeCell ref="B22:I22"/>
    <mergeCell ref="B18:I18"/>
    <mergeCell ref="B19:I19"/>
    <mergeCell ref="B1:N2"/>
    <mergeCell ref="H3:H4"/>
    <mergeCell ref="I3:I4"/>
    <mergeCell ref="J3:N4"/>
    <mergeCell ref="J19:N20"/>
    <mergeCell ref="B20:I20"/>
    <mergeCell ref="F3:F4"/>
  </mergeCells>
  <pageMargins left="0.7" right="0.7" top="0.75" bottom="0.75" header="0.3" footer="0.3"/>
  <pageSetup paperSize="8" fitToHeight="0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4A38B-6ADA-4D58-85E5-67D26F6AC7C8}">
  <dimension ref="A1:P31"/>
  <sheetViews>
    <sheetView zoomScale="85" zoomScaleNormal="85" workbookViewId="0">
      <selection activeCell="C37" sqref="C37"/>
    </sheetView>
  </sheetViews>
  <sheetFormatPr defaultRowHeight="15" x14ac:dyDescent="0.25"/>
  <cols>
    <col min="2" max="2" width="12.7109375" customWidth="1"/>
    <col min="3" max="3" width="26.5703125" customWidth="1"/>
    <col min="4" max="7" width="17.7109375" customWidth="1"/>
  </cols>
  <sheetData>
    <row r="1" spans="1:16" ht="15" customHeight="1" x14ac:dyDescent="0.25">
      <c r="A1" s="1205" t="s">
        <v>87</v>
      </c>
      <c r="B1" s="1206"/>
      <c r="C1" s="1206"/>
      <c r="D1" s="1206"/>
      <c r="E1" s="1206"/>
      <c r="F1" s="1206"/>
      <c r="G1" s="1207"/>
      <c r="H1" s="373"/>
      <c r="I1" s="373"/>
      <c r="J1" s="373"/>
      <c r="K1" s="373"/>
      <c r="L1" s="373"/>
      <c r="M1" s="373"/>
      <c r="N1" s="373"/>
      <c r="O1" s="373"/>
      <c r="P1" s="373"/>
    </row>
    <row r="2" spans="1:16" ht="15.75" customHeight="1" x14ac:dyDescent="0.25">
      <c r="A2" s="1208"/>
      <c r="B2" s="1209"/>
      <c r="C2" s="1209"/>
      <c r="D2" s="1209"/>
      <c r="E2" s="1209"/>
      <c r="F2" s="1209"/>
      <c r="G2" s="1210"/>
      <c r="H2" s="373"/>
      <c r="I2" s="373"/>
      <c r="J2" s="373"/>
      <c r="K2" s="373"/>
      <c r="L2" s="373"/>
      <c r="M2" s="373"/>
      <c r="N2" s="373"/>
      <c r="O2" s="373"/>
      <c r="P2" s="373"/>
    </row>
    <row r="3" spans="1:16" ht="15.75" customHeight="1" x14ac:dyDescent="0.25">
      <c r="A3" s="380"/>
      <c r="B3" s="381"/>
      <c r="C3" s="381"/>
      <c r="D3" s="1228" t="s">
        <v>175</v>
      </c>
      <c r="E3" s="1229"/>
      <c r="F3" s="1203" t="s">
        <v>176</v>
      </c>
      <c r="G3" s="1204"/>
      <c r="H3" s="373"/>
      <c r="I3" s="373"/>
      <c r="J3" s="373"/>
      <c r="K3" s="373"/>
      <c r="L3" s="373"/>
      <c r="M3" s="373"/>
      <c r="N3" s="373"/>
      <c r="O3" s="373"/>
      <c r="P3" s="373"/>
    </row>
    <row r="4" spans="1:16" ht="15" customHeight="1" x14ac:dyDescent="0.25">
      <c r="A4" s="1224"/>
      <c r="B4" s="1225"/>
      <c r="C4" s="1220" t="s">
        <v>177</v>
      </c>
      <c r="D4" s="1222" t="s">
        <v>4</v>
      </c>
      <c r="E4" s="1218" t="s">
        <v>18</v>
      </c>
      <c r="F4" s="1211" t="s">
        <v>4</v>
      </c>
      <c r="G4" s="1213" t="s">
        <v>18</v>
      </c>
      <c r="H4" s="374"/>
    </row>
    <row r="5" spans="1:16" x14ac:dyDescent="0.25">
      <c r="A5" s="1226"/>
      <c r="B5" s="1227"/>
      <c r="C5" s="1221"/>
      <c r="D5" s="1223"/>
      <c r="E5" s="1219"/>
      <c r="F5" s="1212"/>
      <c r="G5" s="1214"/>
      <c r="H5" s="374"/>
    </row>
    <row r="6" spans="1:16" ht="17.25" customHeight="1" x14ac:dyDescent="0.35">
      <c r="A6" s="1029" t="s">
        <v>212</v>
      </c>
      <c r="B6" s="1215"/>
      <c r="C6" s="420" t="s">
        <v>9</v>
      </c>
      <c r="D6" s="415">
        <f>'Plot By Plot SoA'!D354</f>
        <v>69.25</v>
      </c>
      <c r="E6" s="375">
        <f>SUM(D6*10.7639)</f>
        <v>745.40007500000002</v>
      </c>
      <c r="F6" s="386">
        <v>61.25</v>
      </c>
      <c r="G6" s="393">
        <f>SUM(F6*10.7639)</f>
        <v>659.28887499999996</v>
      </c>
    </row>
    <row r="7" spans="1:16" ht="16.5" x14ac:dyDescent="0.35">
      <c r="A7" s="1029"/>
      <c r="B7" s="1215"/>
      <c r="C7" s="421" t="s">
        <v>10</v>
      </c>
      <c r="D7" s="416">
        <f>'Plot By Plot SoA'!D355</f>
        <v>71.569999999999993</v>
      </c>
      <c r="E7" s="376">
        <f>SUM(D7*10.7639)</f>
        <v>770.37232299999994</v>
      </c>
      <c r="F7" s="388">
        <v>95.85</v>
      </c>
      <c r="G7" s="389">
        <f>SUM(F7*10.7639)</f>
        <v>1031.7198149999999</v>
      </c>
    </row>
    <row r="8" spans="1:16" ht="16.5" x14ac:dyDescent="0.35">
      <c r="A8" s="1029"/>
      <c r="B8" s="1215"/>
      <c r="C8" s="421" t="s">
        <v>11</v>
      </c>
      <c r="D8" s="416">
        <f>'Plot By Plot SoA'!D356</f>
        <v>75</v>
      </c>
      <c r="E8" s="376">
        <f>SUM(D8*10.7639)</f>
        <v>807.29250000000002</v>
      </c>
      <c r="F8" s="388">
        <v>67.7</v>
      </c>
      <c r="G8" s="389">
        <f>SUM(F8*10.7639)</f>
        <v>728.71603000000005</v>
      </c>
    </row>
    <row r="9" spans="1:16" ht="16.5" x14ac:dyDescent="0.35">
      <c r="A9" s="1029"/>
      <c r="B9" s="1215"/>
      <c r="C9" s="421" t="s">
        <v>12</v>
      </c>
      <c r="D9" s="416">
        <f>'Plot By Plot SoA'!D357</f>
        <v>47</v>
      </c>
      <c r="E9" s="376">
        <f>SUM(D9*10.7639)</f>
        <v>505.9033</v>
      </c>
      <c r="F9" s="388">
        <v>38.9</v>
      </c>
      <c r="G9" s="389">
        <f>SUM(F9*10.7639)</f>
        <v>418.71570999999994</v>
      </c>
    </row>
    <row r="10" spans="1:16" ht="18.75" customHeight="1" x14ac:dyDescent="0.35">
      <c r="A10" s="1216"/>
      <c r="B10" s="1217"/>
      <c r="C10" s="422" t="s">
        <v>13</v>
      </c>
      <c r="D10" s="417">
        <f>'Plot By Plot SoA'!D358</f>
        <v>47</v>
      </c>
      <c r="E10" s="377">
        <f>SUM(D10*10.7639)</f>
        <v>505.9033</v>
      </c>
      <c r="F10" s="383">
        <v>37.9</v>
      </c>
      <c r="G10" s="382">
        <f>SUM(F10*10.7639)</f>
        <v>407.95180999999997</v>
      </c>
    </row>
    <row r="11" spans="1:16" ht="17.25" customHeight="1" x14ac:dyDescent="0.25">
      <c r="A11" s="1201" t="s">
        <v>47</v>
      </c>
      <c r="B11" s="1202"/>
      <c r="C11" s="1202"/>
      <c r="D11" s="423">
        <f>SUM(D6:D10)</f>
        <v>309.82</v>
      </c>
      <c r="E11" s="379">
        <f>SUM(E6:E10)</f>
        <v>3334.871498</v>
      </c>
      <c r="F11" s="384">
        <f>SUM(F6:F10)</f>
        <v>301.59999999999997</v>
      </c>
      <c r="G11" s="385">
        <f>SUM(G6:G10)</f>
        <v>3246.3922400000001</v>
      </c>
    </row>
    <row r="12" spans="1:16" ht="17.25" customHeight="1" x14ac:dyDescent="0.35">
      <c r="A12" s="1198" t="s">
        <v>223</v>
      </c>
      <c r="B12" s="1055"/>
      <c r="C12" s="418" t="s">
        <v>213</v>
      </c>
      <c r="D12" s="415">
        <v>251.5</v>
      </c>
      <c r="E12" s="375">
        <f t="shared" ref="E12:E17" si="0">SUM(D12*10.7639)</f>
        <v>2707.1208499999998</v>
      </c>
      <c r="F12" s="386" t="s">
        <v>79</v>
      </c>
      <c r="G12" s="387" t="s">
        <v>79</v>
      </c>
    </row>
    <row r="13" spans="1:16" ht="16.5" x14ac:dyDescent="0.35">
      <c r="A13" s="1199"/>
      <c r="B13" s="1104"/>
      <c r="C13" s="419" t="s">
        <v>214</v>
      </c>
      <c r="D13" s="399">
        <v>488.35</v>
      </c>
      <c r="E13" s="378">
        <f t="shared" si="0"/>
        <v>5256.5505650000005</v>
      </c>
      <c r="F13" s="392">
        <v>462.25</v>
      </c>
      <c r="G13" s="389">
        <f>SUM(F13*10.7639)</f>
        <v>4975.6127749999996</v>
      </c>
      <c r="J13" s="524"/>
    </row>
    <row r="14" spans="1:16" ht="16.5" x14ac:dyDescent="0.35">
      <c r="A14" s="1199"/>
      <c r="B14" s="1104"/>
      <c r="C14" s="419" t="s">
        <v>215</v>
      </c>
      <c r="D14" s="399">
        <v>400</v>
      </c>
      <c r="E14" s="378">
        <f t="shared" si="0"/>
        <v>4305.5599999999995</v>
      </c>
      <c r="F14" s="392">
        <v>339</v>
      </c>
      <c r="G14" s="424">
        <f>SUM(F14*10.7639)</f>
        <v>3648.9620999999997</v>
      </c>
    </row>
    <row r="15" spans="1:16" ht="16.5" x14ac:dyDescent="0.35">
      <c r="A15" s="1199"/>
      <c r="B15" s="1104"/>
      <c r="C15" s="428" t="s">
        <v>216</v>
      </c>
      <c r="D15" s="425">
        <v>445</v>
      </c>
      <c r="E15" s="426">
        <f t="shared" si="0"/>
        <v>4789.9354999999996</v>
      </c>
      <c r="F15" s="392" t="s">
        <v>79</v>
      </c>
      <c r="G15" s="432" t="s">
        <v>79</v>
      </c>
    </row>
    <row r="16" spans="1:16" ht="16.5" x14ac:dyDescent="0.35">
      <c r="A16" s="1200"/>
      <c r="B16" s="1040"/>
      <c r="C16" s="429" t="s">
        <v>217</v>
      </c>
      <c r="D16" s="430">
        <v>2813</v>
      </c>
      <c r="E16" s="431">
        <f t="shared" si="0"/>
        <v>30278.850699999999</v>
      </c>
      <c r="F16" s="390" t="s">
        <v>79</v>
      </c>
      <c r="G16" s="433" t="s">
        <v>79</v>
      </c>
    </row>
    <row r="17" spans="1:11" ht="17.25" thickBot="1" x14ac:dyDescent="0.4">
      <c r="A17" s="1232" t="s">
        <v>47</v>
      </c>
      <c r="B17" s="1233"/>
      <c r="C17" s="1233"/>
      <c r="D17" s="436">
        <f>SUM(D12:D16)</f>
        <v>4397.8500000000004</v>
      </c>
      <c r="E17" s="437">
        <f t="shared" si="0"/>
        <v>47338.017615000004</v>
      </c>
      <c r="F17" s="434">
        <f>SUM(F13:F14,D12,D15,D16)</f>
        <v>4310.75</v>
      </c>
      <c r="G17" s="435">
        <f>SUM(F17*10.7639)</f>
        <v>46400.481925</v>
      </c>
    </row>
    <row r="18" spans="1:11" ht="17.25" thickBot="1" x14ac:dyDescent="0.4">
      <c r="A18" s="1234" t="s">
        <v>38</v>
      </c>
      <c r="B18" s="1235"/>
      <c r="C18" s="1235"/>
      <c r="D18" s="438">
        <f>SUM(D6:D16)</f>
        <v>5017.49</v>
      </c>
      <c r="E18" s="439">
        <f>SUM(E6:E16)</f>
        <v>54007.760611000005</v>
      </c>
      <c r="F18" s="427">
        <f>SUM(F11+F17)</f>
        <v>4612.3500000000004</v>
      </c>
      <c r="G18" s="391">
        <f>SUM(G11+G17)</f>
        <v>49646.874165000001</v>
      </c>
      <c r="K18" s="394"/>
    </row>
    <row r="20" spans="1:11" ht="15.75" x14ac:dyDescent="0.3">
      <c r="A20" s="515" t="s">
        <v>254</v>
      </c>
    </row>
    <row r="21" spans="1:11" ht="16.5" x14ac:dyDescent="0.35">
      <c r="A21" s="290">
        <v>4922</v>
      </c>
      <c r="B21" s="290" t="s">
        <v>247</v>
      </c>
      <c r="C21" s="516">
        <f>SUM(A21*10.7639)</f>
        <v>52979.915799999995</v>
      </c>
      <c r="D21" t="s">
        <v>246</v>
      </c>
    </row>
    <row r="24" spans="1:11" x14ac:dyDescent="0.25">
      <c r="B24" s="548"/>
      <c r="C24" s="548"/>
    </row>
    <row r="25" spans="1:11" ht="16.5" x14ac:dyDescent="0.35">
      <c r="A25" s="290"/>
      <c r="B25" s="290"/>
      <c r="C25" s="1231"/>
      <c r="D25" s="1230" t="s">
        <v>271</v>
      </c>
      <c r="E25" s="1230"/>
      <c r="F25" s="1230" t="s">
        <v>272</v>
      </c>
      <c r="G25" s="1230"/>
    </row>
    <row r="26" spans="1:11" ht="16.5" x14ac:dyDescent="0.35">
      <c r="B26" s="290"/>
      <c r="C26" s="1231"/>
      <c r="D26" s="551" t="s">
        <v>274</v>
      </c>
      <c r="E26" s="551" t="s">
        <v>273</v>
      </c>
      <c r="F26" s="551" t="s">
        <v>274</v>
      </c>
      <c r="G26" s="551" t="s">
        <v>273</v>
      </c>
    </row>
    <row r="27" spans="1:11" ht="16.5" x14ac:dyDescent="0.35">
      <c r="B27" s="290"/>
      <c r="C27" s="551" t="s">
        <v>269</v>
      </c>
      <c r="D27" s="550">
        <v>335</v>
      </c>
      <c r="E27" s="552">
        <f>SUM(D27*10.7639)</f>
        <v>3605.9065000000001</v>
      </c>
      <c r="F27" s="553">
        <f>D12</f>
        <v>251.5</v>
      </c>
      <c r="G27" s="554">
        <f>E12</f>
        <v>2707.1208499999998</v>
      </c>
    </row>
    <row r="28" spans="1:11" ht="16.5" x14ac:dyDescent="0.35">
      <c r="A28" s="290"/>
      <c r="B28" s="290"/>
      <c r="C28" s="551" t="s">
        <v>270</v>
      </c>
      <c r="D28" s="550">
        <v>269.89999999999998</v>
      </c>
      <c r="E28" s="552">
        <f>SUM(D28*10.7639)</f>
        <v>2905.1766099999995</v>
      </c>
      <c r="F28" s="553">
        <f>D13</f>
        <v>488.35</v>
      </c>
      <c r="G28" s="554">
        <f>E13</f>
        <v>5256.5505650000005</v>
      </c>
    </row>
    <row r="29" spans="1:11" ht="16.5" x14ac:dyDescent="0.35">
      <c r="A29" s="290"/>
      <c r="B29" s="290"/>
      <c r="C29" s="551" t="s">
        <v>52</v>
      </c>
      <c r="D29" s="555">
        <f>SUM(D27:D28)</f>
        <v>604.9</v>
      </c>
      <c r="E29" s="555">
        <f t="shared" ref="E29:G29" si="1">SUM(E27:E28)</f>
        <v>6511.0831099999996</v>
      </c>
      <c r="F29" s="555">
        <f t="shared" si="1"/>
        <v>739.85</v>
      </c>
      <c r="G29" s="555">
        <f t="shared" si="1"/>
        <v>7963.6714150000007</v>
      </c>
    </row>
    <row r="30" spans="1:11" ht="16.5" x14ac:dyDescent="0.35">
      <c r="A30" s="290"/>
      <c r="B30" s="290"/>
      <c r="C30" s="290"/>
      <c r="D30" s="290"/>
      <c r="E30" s="290"/>
      <c r="F30" s="290"/>
      <c r="G30" s="290"/>
    </row>
    <row r="31" spans="1:11" ht="16.5" x14ac:dyDescent="0.35">
      <c r="A31" s="290"/>
      <c r="B31" s="290"/>
      <c r="C31" s="290"/>
      <c r="D31" s="290"/>
      <c r="E31" s="290"/>
      <c r="F31" s="290"/>
      <c r="G31" s="290"/>
    </row>
  </sheetData>
  <mergeCells count="17">
    <mergeCell ref="D25:E25"/>
    <mergeCell ref="F25:G25"/>
    <mergeCell ref="C25:C26"/>
    <mergeCell ref="A17:C17"/>
    <mergeCell ref="A18:C18"/>
    <mergeCell ref="A12:B16"/>
    <mergeCell ref="A11:C11"/>
    <mergeCell ref="F3:G3"/>
    <mergeCell ref="A1:G2"/>
    <mergeCell ref="F4:F5"/>
    <mergeCell ref="G4:G5"/>
    <mergeCell ref="A6:B10"/>
    <mergeCell ref="E4:E5"/>
    <mergeCell ref="C4:C5"/>
    <mergeCell ref="D4:D5"/>
    <mergeCell ref="A4:B5"/>
    <mergeCell ref="D3:E3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fitToHeight="0" orientation="landscape" r:id="rId1"/>
  <ignoredErrors>
    <ignoredError sqref="E11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C78E7-678C-47AD-9A32-9C8178ACF36D}">
  <dimension ref="A1:T46"/>
  <sheetViews>
    <sheetView zoomScale="85" zoomScaleNormal="85" workbookViewId="0">
      <selection activeCell="R10" sqref="R10:R11"/>
    </sheetView>
  </sheetViews>
  <sheetFormatPr defaultRowHeight="15" x14ac:dyDescent="0.25"/>
  <cols>
    <col min="1" max="1" width="29.5703125" customWidth="1"/>
    <col min="2" max="3" width="13.28515625" customWidth="1"/>
    <col min="4" max="4" width="15.85546875" customWidth="1"/>
    <col min="5" max="5" width="14.85546875" customWidth="1"/>
    <col min="7" max="7" width="14.140625" customWidth="1"/>
    <col min="8" max="8" width="19.7109375" bestFit="1" customWidth="1"/>
    <col min="9" max="9" width="12.42578125" customWidth="1"/>
    <col min="17" max="17" width="25.42578125" customWidth="1"/>
    <col min="18" max="19" width="10.5703125" bestFit="1" customWidth="1"/>
  </cols>
  <sheetData>
    <row r="1" spans="1:20" ht="34.5" customHeight="1" thickBot="1" x14ac:dyDescent="0.35">
      <c r="A1" s="1238" t="s">
        <v>225</v>
      </c>
      <c r="B1" s="1240" t="s">
        <v>226</v>
      </c>
      <c r="C1" s="1239"/>
      <c r="D1" s="1236" t="s">
        <v>227</v>
      </c>
      <c r="E1" s="1236"/>
      <c r="F1" s="2"/>
      <c r="G1" s="2"/>
    </row>
    <row r="2" spans="1:20" ht="18" thickBot="1" x14ac:dyDescent="0.4">
      <c r="A2" s="1239"/>
      <c r="B2" s="494" t="s">
        <v>247</v>
      </c>
      <c r="C2" s="495" t="s">
        <v>246</v>
      </c>
      <c r="D2" s="494" t="s">
        <v>246</v>
      </c>
      <c r="E2" s="487" t="s">
        <v>246</v>
      </c>
      <c r="F2" s="2"/>
      <c r="G2" s="2"/>
    </row>
    <row r="3" spans="1:20" ht="17.25" x14ac:dyDescent="0.35">
      <c r="A3" s="491" t="s">
        <v>233</v>
      </c>
      <c r="B3" s="489">
        <v>22694</v>
      </c>
      <c r="C3" s="490">
        <f>SUM(B3*10.7639104)</f>
        <v>244276.18261760002</v>
      </c>
      <c r="D3" s="488" t="s">
        <v>79</v>
      </c>
      <c r="E3" s="488" t="s">
        <v>79</v>
      </c>
      <c r="F3" s="2"/>
      <c r="G3" s="2"/>
      <c r="K3" s="533"/>
    </row>
    <row r="4" spans="1:20" ht="17.25" x14ac:dyDescent="0.35">
      <c r="A4" s="491" t="s">
        <v>236</v>
      </c>
      <c r="B4" s="488">
        <v>342.6</v>
      </c>
      <c r="C4" s="490">
        <f t="shared" ref="C4:C9" si="0">SUM(B4*10.7639104)</f>
        <v>3687.7157030400003</v>
      </c>
      <c r="D4" s="488" t="s">
        <v>79</v>
      </c>
      <c r="E4" s="488" t="s">
        <v>79</v>
      </c>
      <c r="F4" s="2"/>
      <c r="G4" s="2"/>
    </row>
    <row r="5" spans="1:20" ht="17.25" x14ac:dyDescent="0.35">
      <c r="A5" s="491" t="s">
        <v>228</v>
      </c>
      <c r="B5" s="488">
        <v>169.5</v>
      </c>
      <c r="C5" s="490">
        <f t="shared" si="0"/>
        <v>1824.4828128000001</v>
      </c>
      <c r="D5" s="488" t="s">
        <v>79</v>
      </c>
      <c r="E5" s="488" t="s">
        <v>79</v>
      </c>
      <c r="F5" s="2"/>
      <c r="G5" s="2"/>
    </row>
    <row r="6" spans="1:20" ht="17.25" x14ac:dyDescent="0.35">
      <c r="A6" s="491" t="s">
        <v>31</v>
      </c>
      <c r="B6" s="488">
        <v>171.7</v>
      </c>
      <c r="C6" s="490">
        <f t="shared" si="0"/>
        <v>1848.1634156799998</v>
      </c>
      <c r="D6" s="488" t="s">
        <v>79</v>
      </c>
      <c r="E6" s="488" t="s">
        <v>79</v>
      </c>
      <c r="F6" s="2"/>
      <c r="G6" s="2"/>
      <c r="Q6" s="525"/>
      <c r="R6" s="525"/>
      <c r="S6" s="525"/>
    </row>
    <row r="7" spans="1:20" ht="17.25" x14ac:dyDescent="0.35">
      <c r="A7" s="491" t="s">
        <v>32</v>
      </c>
      <c r="B7" s="488">
        <v>254.5</v>
      </c>
      <c r="C7" s="490">
        <f t="shared" si="0"/>
        <v>2739.4151968000001</v>
      </c>
      <c r="D7" s="488" t="s">
        <v>79</v>
      </c>
      <c r="E7" s="488" t="s">
        <v>79</v>
      </c>
      <c r="F7" s="2"/>
      <c r="G7" s="2"/>
      <c r="N7" s="525"/>
      <c r="O7" s="525"/>
      <c r="P7" s="528"/>
      <c r="Q7" s="529" t="s">
        <v>258</v>
      </c>
      <c r="R7" s="526" t="s">
        <v>259</v>
      </c>
      <c r="S7" s="530" t="s">
        <v>260</v>
      </c>
    </row>
    <row r="8" spans="1:20" ht="17.25" x14ac:dyDescent="0.35">
      <c r="A8" s="491" t="s">
        <v>229</v>
      </c>
      <c r="B8" s="488">
        <v>2105.85</v>
      </c>
      <c r="C8" s="490">
        <f t="shared" si="0"/>
        <v>22667.180715840001</v>
      </c>
      <c r="D8" s="488" t="s">
        <v>79</v>
      </c>
      <c r="E8" s="488" t="s">
        <v>79</v>
      </c>
      <c r="F8" s="2"/>
      <c r="G8" s="2"/>
      <c r="I8" s="533"/>
      <c r="M8" s="527"/>
      <c r="N8" s="1256" t="s">
        <v>257</v>
      </c>
      <c r="O8" s="1256"/>
      <c r="P8" s="1257"/>
      <c r="Q8" s="1244" t="s">
        <v>79</v>
      </c>
      <c r="R8" s="1260">
        <f>SUM(B3+B6+B7+B8+B9+B5)</f>
        <v>25677.149999999998</v>
      </c>
      <c r="S8" s="1246">
        <f>R8</f>
        <v>25677.149999999998</v>
      </c>
    </row>
    <row r="9" spans="1:20" ht="17.25" x14ac:dyDescent="0.35">
      <c r="A9" s="491" t="s">
        <v>230</v>
      </c>
      <c r="B9" s="488">
        <v>281.60000000000002</v>
      </c>
      <c r="C9" s="490">
        <f t="shared" si="0"/>
        <v>3031.1171686400003</v>
      </c>
      <c r="D9" s="488" t="s">
        <v>79</v>
      </c>
      <c r="E9" s="488" t="s">
        <v>79</v>
      </c>
      <c r="F9" s="2"/>
      <c r="G9" s="2"/>
      <c r="I9" s="534"/>
      <c r="M9" s="527"/>
      <c r="N9" s="1258"/>
      <c r="O9" s="1258"/>
      <c r="P9" s="1259"/>
      <c r="Q9" s="1245"/>
      <c r="R9" s="1261"/>
      <c r="S9" s="1247"/>
    </row>
    <row r="10" spans="1:20" ht="16.5" x14ac:dyDescent="0.3">
      <c r="A10" s="491" t="s">
        <v>231</v>
      </c>
      <c r="B10" s="504" t="s">
        <v>79</v>
      </c>
      <c r="C10" s="313" t="s">
        <v>79</v>
      </c>
      <c r="D10" s="500">
        <f>SUM(D21+B21)</f>
        <v>3351.7840000000006</v>
      </c>
      <c r="E10" s="499">
        <f>SUM(D10*10.7639104)</f>
        <v>36078.30265615361</v>
      </c>
      <c r="F10" s="2"/>
      <c r="G10" s="2"/>
      <c r="M10" s="527"/>
      <c r="N10" s="1250" t="s">
        <v>261</v>
      </c>
      <c r="O10" s="1250"/>
      <c r="P10" s="1251"/>
      <c r="Q10" s="1248">
        <f>R16</f>
        <v>25370.745999999999</v>
      </c>
      <c r="R10" s="1244">
        <f>B4</f>
        <v>342.6</v>
      </c>
      <c r="S10" s="1255">
        <f>SUM(R10-Q10)</f>
        <v>-25028.146000000001</v>
      </c>
    </row>
    <row r="11" spans="1:20" ht="17.25" thickBot="1" x14ac:dyDescent="0.35">
      <c r="A11" s="324" t="s">
        <v>232</v>
      </c>
      <c r="B11" s="506" t="s">
        <v>79</v>
      </c>
      <c r="C11" s="507" t="s">
        <v>79</v>
      </c>
      <c r="D11" s="497">
        <f>SUM(F24+H24)</f>
        <v>1523.67</v>
      </c>
      <c r="E11" s="503">
        <f>SUM(D11*10.7639104)</f>
        <v>16400.647359168001</v>
      </c>
      <c r="F11" s="2"/>
      <c r="G11" s="2"/>
      <c r="M11" s="527"/>
      <c r="N11" s="1252"/>
      <c r="O11" s="1252"/>
      <c r="P11" s="1253"/>
      <c r="Q11" s="1249"/>
      <c r="R11" s="1254"/>
      <c r="S11" s="1254"/>
    </row>
    <row r="12" spans="1:20" ht="17.25" thickBot="1" x14ac:dyDescent="0.35">
      <c r="A12" s="496" t="s">
        <v>52</v>
      </c>
      <c r="B12" s="511">
        <f>SUM(B3:B9)</f>
        <v>26019.749999999996</v>
      </c>
      <c r="C12" s="273">
        <f>SUM(C3:C9)</f>
        <v>280074.25763040007</v>
      </c>
      <c r="D12" s="532">
        <f>SUM(D10:D11)</f>
        <v>4875.4540000000006</v>
      </c>
      <c r="E12" s="273">
        <f>SUM(E10:E11)</f>
        <v>52478.950015321607</v>
      </c>
      <c r="F12" s="2"/>
      <c r="G12" s="2"/>
      <c r="M12" s="527"/>
      <c r="N12" s="1241" t="s">
        <v>268</v>
      </c>
      <c r="O12" s="1242"/>
      <c r="P12" s="1243"/>
      <c r="Q12" s="536">
        <f>SUM(Q8:Q11)</f>
        <v>25370.745999999999</v>
      </c>
      <c r="R12" s="537">
        <f>SUM(R8:R11)</f>
        <v>26019.749999999996</v>
      </c>
      <c r="S12" s="538">
        <f>SUM(S8:S11)</f>
        <v>649.00399999999718</v>
      </c>
      <c r="T12" s="531"/>
    </row>
    <row r="13" spans="1:20" ht="16.5" x14ac:dyDescent="0.3">
      <c r="A13" s="502"/>
      <c r="B13" s="508"/>
      <c r="C13" s="509"/>
      <c r="D13" s="510"/>
      <c r="E13" s="509"/>
      <c r="F13" s="2"/>
      <c r="G13" s="2"/>
    </row>
    <row r="14" spans="1:20" ht="17.25" thickBot="1" x14ac:dyDescent="0.35">
      <c r="A14" s="2"/>
      <c r="B14" s="2"/>
      <c r="C14" s="2"/>
      <c r="D14" s="2"/>
      <c r="E14" s="2"/>
      <c r="F14" s="2"/>
      <c r="G14" s="2"/>
      <c r="O14" s="524"/>
    </row>
    <row r="15" spans="1:20" ht="16.5" x14ac:dyDescent="0.3">
      <c r="A15" s="2"/>
      <c r="B15" s="2"/>
      <c r="C15" s="2"/>
      <c r="D15" s="2"/>
      <c r="E15" s="2"/>
      <c r="F15" s="2"/>
      <c r="G15" s="2"/>
      <c r="N15" s="539" t="s">
        <v>265</v>
      </c>
      <c r="O15" s="540"/>
      <c r="P15" s="540"/>
      <c r="Q15" s="543"/>
      <c r="R15" s="544">
        <f>SUM(B21+F24+H24+D21)</f>
        <v>4875.4540000000006</v>
      </c>
    </row>
    <row r="16" spans="1:20" ht="17.25" thickBot="1" x14ac:dyDescent="0.35">
      <c r="A16" s="1238" t="s">
        <v>231</v>
      </c>
      <c r="B16" s="1236" t="s">
        <v>235</v>
      </c>
      <c r="C16" s="1237"/>
      <c r="D16" s="1236" t="s">
        <v>234</v>
      </c>
      <c r="E16" s="1237"/>
      <c r="F16" s="2"/>
      <c r="G16" s="2"/>
      <c r="N16" s="547" t="s">
        <v>266</v>
      </c>
      <c r="O16" s="546"/>
      <c r="P16" s="545"/>
      <c r="Q16" s="542"/>
      <c r="R16" s="541">
        <f>P24-R15</f>
        <v>25370.745999999999</v>
      </c>
    </row>
    <row r="17" spans="1:18" ht="17.25" thickBot="1" x14ac:dyDescent="0.35">
      <c r="A17" s="1239"/>
      <c r="B17" s="501" t="s">
        <v>247</v>
      </c>
      <c r="C17" s="493" t="s">
        <v>246</v>
      </c>
      <c r="D17" s="501" t="s">
        <v>247</v>
      </c>
      <c r="E17" s="493" t="s">
        <v>246</v>
      </c>
      <c r="F17" s="2"/>
      <c r="G17" s="2"/>
    </row>
    <row r="18" spans="1:18" ht="16.5" x14ac:dyDescent="0.3">
      <c r="A18" s="491" t="s">
        <v>241</v>
      </c>
      <c r="B18" s="499">
        <f>B31</f>
        <v>15.587999999999999</v>
      </c>
      <c r="C18" s="382">
        <f>SUM(B18*10.7639104)</f>
        <v>167.7878353152</v>
      </c>
      <c r="D18" s="499">
        <f>D31</f>
        <v>483.29600000000005</v>
      </c>
      <c r="E18" s="491">
        <f>SUM(D18*10.7639104)</f>
        <v>5202.1548406784004</v>
      </c>
      <c r="F18" s="2"/>
      <c r="G18" s="2"/>
      <c r="R18" s="549"/>
    </row>
    <row r="19" spans="1:18" ht="15.75" thickBot="1" x14ac:dyDescent="0.3">
      <c r="A19" s="491" t="s">
        <v>242</v>
      </c>
      <c r="B19" s="498">
        <v>1943.41</v>
      </c>
      <c r="C19" s="382">
        <f>SUM(B19*10.7639104)</f>
        <v>20918.691110464002</v>
      </c>
      <c r="D19" s="498" t="s">
        <v>79</v>
      </c>
      <c r="E19" s="491" t="s">
        <v>79</v>
      </c>
      <c r="F19" s="1236" t="s">
        <v>244</v>
      </c>
      <c r="G19" s="1237"/>
      <c r="H19" s="1236" t="s">
        <v>245</v>
      </c>
      <c r="I19" s="1236"/>
    </row>
    <row r="20" spans="1:18" ht="15.75" thickBot="1" x14ac:dyDescent="0.3">
      <c r="A20" s="324" t="s">
        <v>243</v>
      </c>
      <c r="B20" s="497">
        <v>909.49</v>
      </c>
      <c r="C20" s="391">
        <f>SUM(B20*10.7639104)</f>
        <v>9789.6688696960009</v>
      </c>
      <c r="D20" s="497" t="s">
        <v>79</v>
      </c>
      <c r="E20" s="324" t="s">
        <v>79</v>
      </c>
      <c r="F20" s="501" t="s">
        <v>247</v>
      </c>
      <c r="G20" s="493" t="s">
        <v>246</v>
      </c>
      <c r="H20" s="501" t="s">
        <v>247</v>
      </c>
      <c r="I20" s="501" t="s">
        <v>246</v>
      </c>
    </row>
    <row r="21" spans="1:18" ht="16.5" x14ac:dyDescent="0.25">
      <c r="A21" s="496" t="s">
        <v>52</v>
      </c>
      <c r="B21" s="221">
        <f>SUM(B18:B20)</f>
        <v>2868.4880000000003</v>
      </c>
      <c r="C21" s="505">
        <f t="shared" ref="C21:I24" si="1">SUM(C18:C20)</f>
        <v>30876.147815475204</v>
      </c>
      <c r="D21" s="221">
        <f t="shared" si="1"/>
        <v>483.29600000000005</v>
      </c>
      <c r="E21" s="492">
        <f t="shared" si="1"/>
        <v>5202.1548406784004</v>
      </c>
      <c r="F21" s="498">
        <v>783.82</v>
      </c>
      <c r="G21" s="382">
        <f>SUM(F21*10.7639104)</f>
        <v>8436.968249728001</v>
      </c>
      <c r="H21" s="498">
        <v>739.85</v>
      </c>
      <c r="I21" s="499">
        <f>SUM(H21*10.7639104)</f>
        <v>7963.6791094400005</v>
      </c>
    </row>
    <row r="22" spans="1:18" x14ac:dyDescent="0.25">
      <c r="A22" s="221"/>
      <c r="B22" s="498"/>
      <c r="C22" s="499"/>
      <c r="D22" s="498"/>
      <c r="E22" s="498"/>
      <c r="F22" s="498" t="s">
        <v>79</v>
      </c>
      <c r="G22" s="491" t="s">
        <v>79</v>
      </c>
      <c r="H22" s="498" t="s">
        <v>79</v>
      </c>
      <c r="I22" s="498" t="s">
        <v>79</v>
      </c>
    </row>
    <row r="23" spans="1:18" ht="15.75" thickBot="1" x14ac:dyDescent="0.3">
      <c r="A23" s="221"/>
      <c r="B23" s="498"/>
      <c r="C23" s="499"/>
      <c r="D23" s="498"/>
      <c r="E23" s="498"/>
      <c r="F23" s="497" t="s">
        <v>79</v>
      </c>
      <c r="G23" s="324" t="s">
        <v>79</v>
      </c>
      <c r="H23" s="497" t="s">
        <v>79</v>
      </c>
      <c r="I23" s="497" t="s">
        <v>79</v>
      </c>
    </row>
    <row r="24" spans="1:18" ht="15.75" thickBot="1" x14ac:dyDescent="0.3">
      <c r="A24" s="498"/>
      <c r="B24" s="498"/>
      <c r="C24" s="498"/>
      <c r="D24" s="498"/>
      <c r="E24" s="498"/>
      <c r="F24" s="221">
        <f t="shared" si="1"/>
        <v>783.82</v>
      </c>
      <c r="G24" s="505">
        <f t="shared" si="1"/>
        <v>8436.968249728001</v>
      </c>
      <c r="H24" s="221">
        <f t="shared" si="1"/>
        <v>739.85</v>
      </c>
      <c r="I24" s="273">
        <f t="shared" si="1"/>
        <v>7963.6791094400005</v>
      </c>
      <c r="N24" s="1241" t="s">
        <v>267</v>
      </c>
      <c r="O24" s="1242"/>
      <c r="P24" s="535">
        <v>30246.2</v>
      </c>
    </row>
    <row r="25" spans="1:18" ht="15.75" thickBot="1" x14ac:dyDescent="0.3">
      <c r="A25" s="1030" t="s">
        <v>253</v>
      </c>
      <c r="B25" s="1236" t="s">
        <v>248</v>
      </c>
      <c r="C25" s="1239"/>
      <c r="D25" s="1236" t="s">
        <v>249</v>
      </c>
      <c r="E25" s="1236"/>
      <c r="F25" s="498"/>
      <c r="G25" s="499"/>
      <c r="H25" s="498"/>
      <c r="I25" s="499"/>
    </row>
    <row r="26" spans="1:18" ht="15.75" thickBot="1" x14ac:dyDescent="0.3">
      <c r="A26" s="1028"/>
      <c r="B26" s="501" t="s">
        <v>247</v>
      </c>
      <c r="C26" s="493" t="s">
        <v>246</v>
      </c>
      <c r="D26" s="501" t="s">
        <v>247</v>
      </c>
      <c r="E26" s="501" t="s">
        <v>246</v>
      </c>
      <c r="F26" s="498"/>
      <c r="G26" s="499"/>
      <c r="H26" s="498"/>
      <c r="I26" s="499"/>
      <c r="N26" t="s">
        <v>263</v>
      </c>
      <c r="R26">
        <f>SUM(B4)</f>
        <v>342.6</v>
      </c>
    </row>
    <row r="27" spans="1:18" x14ac:dyDescent="0.25">
      <c r="A27" s="491" t="s">
        <v>237</v>
      </c>
      <c r="B27" s="498" t="s">
        <v>79</v>
      </c>
      <c r="C27" s="491" t="s">
        <v>79</v>
      </c>
      <c r="D27" s="499">
        <v>349.36900000000003</v>
      </c>
      <c r="E27" s="499">
        <f>SUM(D27*10.7639104)</f>
        <v>3760.5766125376003</v>
      </c>
      <c r="F27" s="498"/>
      <c r="G27" s="498"/>
      <c r="H27" s="498"/>
      <c r="I27" s="498"/>
      <c r="N27" t="s">
        <v>262</v>
      </c>
      <c r="R27" s="533">
        <f>SUM(D10+D11)</f>
        <v>4875.4540000000006</v>
      </c>
    </row>
    <row r="28" spans="1:18" x14ac:dyDescent="0.25">
      <c r="A28" s="491" t="s">
        <v>239</v>
      </c>
      <c r="B28" s="498" t="s">
        <v>79</v>
      </c>
      <c r="C28" s="491" t="s">
        <v>79</v>
      </c>
      <c r="D28" s="499">
        <v>64.927000000000007</v>
      </c>
      <c r="E28" s="500">
        <f>SUM(D28*10.7639104)</f>
        <v>698.86841054080014</v>
      </c>
      <c r="F28" s="498"/>
      <c r="G28" s="498"/>
      <c r="H28" s="498"/>
      <c r="I28" s="498"/>
      <c r="N28" t="s">
        <v>264</v>
      </c>
      <c r="R28" s="534">
        <f>SUM(R26:R27)</f>
        <v>5218.054000000001</v>
      </c>
    </row>
    <row r="29" spans="1:18" x14ac:dyDescent="0.25">
      <c r="A29" s="491" t="s">
        <v>238</v>
      </c>
      <c r="B29" s="499">
        <v>15.587999999999999</v>
      </c>
      <c r="C29" s="382">
        <f>SUM(B29*10.7639104)</f>
        <v>167.7878353152</v>
      </c>
      <c r="D29" s="498" t="s">
        <v>79</v>
      </c>
      <c r="E29" s="498" t="s">
        <v>79</v>
      </c>
      <c r="F29" s="498"/>
      <c r="G29" s="498"/>
      <c r="H29" s="498"/>
      <c r="I29" s="498"/>
    </row>
    <row r="30" spans="1:18" ht="15.75" thickBot="1" x14ac:dyDescent="0.3">
      <c r="A30" s="324" t="s">
        <v>240</v>
      </c>
      <c r="B30" s="497" t="s">
        <v>79</v>
      </c>
      <c r="C30" s="324" t="s">
        <v>79</v>
      </c>
      <c r="D30" s="497">
        <v>69</v>
      </c>
      <c r="E30" s="503">
        <f>SUM(D30*10.7639104)</f>
        <v>742.70981760000006</v>
      </c>
      <c r="F30" s="498"/>
      <c r="G30" s="498"/>
      <c r="H30" s="498"/>
      <c r="I30" s="498"/>
    </row>
    <row r="31" spans="1:18" ht="16.5" x14ac:dyDescent="0.25">
      <c r="A31" s="512" t="s">
        <v>52</v>
      </c>
      <c r="B31" s="273">
        <f>SUM(B27:B30)</f>
        <v>15.587999999999999</v>
      </c>
      <c r="C31" s="273">
        <f>SUM(C27:C30)</f>
        <v>167.7878353152</v>
      </c>
      <c r="D31" s="273">
        <f>SUM(D27:D30)</f>
        <v>483.29600000000005</v>
      </c>
      <c r="E31" s="273">
        <f>SUM(E27:E30)</f>
        <v>5202.1548406784004</v>
      </c>
      <c r="F31" s="498"/>
      <c r="G31" s="498"/>
      <c r="H31" s="498"/>
      <c r="I31" s="498"/>
    </row>
    <row r="32" spans="1:18" ht="16.5" x14ac:dyDescent="0.3">
      <c r="A32" s="2"/>
      <c r="B32" s="2"/>
      <c r="C32" s="2"/>
      <c r="D32" s="498"/>
      <c r="E32" s="498"/>
      <c r="F32" s="498"/>
      <c r="G32" s="498"/>
      <c r="H32" s="498"/>
      <c r="I32" s="498"/>
    </row>
    <row r="33" spans="1:9" ht="16.5" x14ac:dyDescent="0.3">
      <c r="A33" s="2"/>
      <c r="B33" s="2"/>
      <c r="C33" s="2"/>
      <c r="D33" s="2"/>
      <c r="E33" s="2"/>
      <c r="F33" s="498"/>
      <c r="G33" s="498"/>
      <c r="H33" s="498"/>
      <c r="I33" s="498"/>
    </row>
    <row r="34" spans="1:9" ht="17.25" thickBot="1" x14ac:dyDescent="0.35">
      <c r="A34" s="1238" t="s">
        <v>250</v>
      </c>
      <c r="B34" s="1236" t="s">
        <v>248</v>
      </c>
      <c r="C34" s="1239"/>
      <c r="D34" s="1236" t="s">
        <v>249</v>
      </c>
      <c r="E34" s="1236"/>
      <c r="F34" s="2"/>
      <c r="G34" s="2"/>
    </row>
    <row r="35" spans="1:9" ht="17.25" thickBot="1" x14ac:dyDescent="0.35">
      <c r="A35" s="1237"/>
      <c r="B35" s="501" t="s">
        <v>247</v>
      </c>
      <c r="C35" s="493" t="s">
        <v>246</v>
      </c>
      <c r="D35" s="501" t="s">
        <v>247</v>
      </c>
      <c r="E35" s="501" t="s">
        <v>246</v>
      </c>
      <c r="F35" s="2"/>
      <c r="G35" s="2"/>
    </row>
    <row r="36" spans="1:9" ht="16.5" x14ac:dyDescent="0.3">
      <c r="A36" s="491" t="s">
        <v>241</v>
      </c>
      <c r="B36" s="499">
        <v>2855.8</v>
      </c>
      <c r="C36" s="513">
        <f>SUM(B36*10.7639104)</f>
        <v>30739.575320320004</v>
      </c>
      <c r="D36" s="499">
        <v>237.63800000000001</v>
      </c>
      <c r="E36" s="499">
        <f>SUM(D36*10.7639104)</f>
        <v>2557.9141396352002</v>
      </c>
      <c r="F36" s="2"/>
      <c r="G36" s="2"/>
    </row>
    <row r="37" spans="1:9" ht="17.25" x14ac:dyDescent="0.35">
      <c r="A37" s="491" t="s">
        <v>251</v>
      </c>
      <c r="B37" s="498">
        <v>2809.96</v>
      </c>
      <c r="C37" s="382">
        <f t="shared" ref="C37:C39" si="2">SUM(B37*10.7639104)</f>
        <v>30246.157667584001</v>
      </c>
      <c r="D37" s="498" t="s">
        <v>79</v>
      </c>
      <c r="E37" s="499" t="s">
        <v>79</v>
      </c>
      <c r="F37" s="290"/>
      <c r="G37" s="2"/>
    </row>
    <row r="38" spans="1:9" ht="17.25" x14ac:dyDescent="0.35">
      <c r="A38" s="491" t="s">
        <v>146</v>
      </c>
      <c r="B38" s="498">
        <v>3071.05</v>
      </c>
      <c r="C38" s="382">
        <f t="shared" si="2"/>
        <v>33056.507033920003</v>
      </c>
      <c r="D38" s="498" t="s">
        <v>79</v>
      </c>
      <c r="E38" s="499" t="s">
        <v>79</v>
      </c>
      <c r="F38" s="290"/>
      <c r="G38" s="2"/>
    </row>
    <row r="39" spans="1:9" ht="17.25" x14ac:dyDescent="0.35">
      <c r="A39" s="491" t="s">
        <v>252</v>
      </c>
      <c r="B39" s="498">
        <v>3035.99</v>
      </c>
      <c r="C39" s="382">
        <f t="shared" si="2"/>
        <v>32679.124335295997</v>
      </c>
      <c r="D39" s="498" t="s">
        <v>79</v>
      </c>
      <c r="E39" s="499" t="s">
        <v>79</v>
      </c>
      <c r="F39" s="290"/>
      <c r="G39" s="35"/>
    </row>
    <row r="40" spans="1:9" ht="18" thickBot="1" x14ac:dyDescent="0.4">
      <c r="A40" s="324" t="s">
        <v>148</v>
      </c>
      <c r="B40" s="497" t="s">
        <v>79</v>
      </c>
      <c r="C40" s="324" t="s">
        <v>79</v>
      </c>
      <c r="D40" s="497">
        <v>2723.0590000000002</v>
      </c>
      <c r="E40" s="503">
        <f t="shared" ref="E40" si="3">SUM(D40*10.7639104)</f>
        <v>29310.763089913602</v>
      </c>
      <c r="F40" s="290"/>
      <c r="G40" s="2"/>
    </row>
    <row r="41" spans="1:9" ht="17.25" x14ac:dyDescent="0.35">
      <c r="A41" s="496" t="s">
        <v>52</v>
      </c>
      <c r="B41" s="273">
        <f>SUM(B36:B40)</f>
        <v>11772.800000000001</v>
      </c>
      <c r="C41" s="514">
        <f>SUM(C36:C40)</f>
        <v>126721.36435712001</v>
      </c>
      <c r="D41" s="273">
        <f t="shared" ref="D41:E41" si="4">SUM(D36:D40)</f>
        <v>2960.6970000000001</v>
      </c>
      <c r="E41" s="273">
        <f t="shared" si="4"/>
        <v>31868.677229548801</v>
      </c>
      <c r="F41" s="290"/>
      <c r="G41" s="2"/>
    </row>
    <row r="42" spans="1:9" ht="17.25" x14ac:dyDescent="0.35">
      <c r="A42" s="2"/>
      <c r="B42" s="2"/>
      <c r="C42" s="2"/>
      <c r="D42" s="2"/>
      <c r="E42" s="2"/>
      <c r="F42" s="290"/>
      <c r="G42" s="2"/>
    </row>
    <row r="43" spans="1:9" ht="17.25" x14ac:dyDescent="0.35">
      <c r="A43" s="2"/>
      <c r="B43" s="2"/>
      <c r="C43" s="2"/>
      <c r="D43" s="2"/>
      <c r="E43" s="2"/>
      <c r="F43" s="290"/>
      <c r="G43" s="2"/>
    </row>
    <row r="44" spans="1:9" ht="17.25" x14ac:dyDescent="0.35">
      <c r="F44" s="290"/>
      <c r="G44" s="2"/>
    </row>
    <row r="45" spans="1:9" ht="16.5" x14ac:dyDescent="0.3">
      <c r="F45" s="2"/>
      <c r="G45" s="2"/>
    </row>
    <row r="46" spans="1:9" ht="16.5" x14ac:dyDescent="0.3">
      <c r="F46" s="2"/>
      <c r="G46" s="2"/>
    </row>
  </sheetData>
  <mergeCells count="24">
    <mergeCell ref="N24:O24"/>
    <mergeCell ref="N12:P12"/>
    <mergeCell ref="Q8:Q9"/>
    <mergeCell ref="S8:S9"/>
    <mergeCell ref="Q10:Q11"/>
    <mergeCell ref="N10:P11"/>
    <mergeCell ref="R10:R11"/>
    <mergeCell ref="S10:S11"/>
    <mergeCell ref="N8:P9"/>
    <mergeCell ref="R8:R9"/>
    <mergeCell ref="A1:A2"/>
    <mergeCell ref="B1:C1"/>
    <mergeCell ref="D1:E1"/>
    <mergeCell ref="A34:A35"/>
    <mergeCell ref="B34:C34"/>
    <mergeCell ref="D34:E34"/>
    <mergeCell ref="A25:A26"/>
    <mergeCell ref="B16:C16"/>
    <mergeCell ref="D16:E16"/>
    <mergeCell ref="F19:G19"/>
    <mergeCell ref="H19:I19"/>
    <mergeCell ref="A16:A17"/>
    <mergeCell ref="B25:C25"/>
    <mergeCell ref="D25:E2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B2EFC-6537-492A-926B-4D868413C443}">
  <sheetPr>
    <pageSetUpPr fitToPage="1"/>
  </sheetPr>
  <dimension ref="B1:M26"/>
  <sheetViews>
    <sheetView zoomScale="55" zoomScaleNormal="55" workbookViewId="0">
      <selection activeCell="I51" sqref="I51"/>
    </sheetView>
  </sheetViews>
  <sheetFormatPr defaultRowHeight="15" x14ac:dyDescent="0.25"/>
  <cols>
    <col min="1" max="2" width="9.140625" customWidth="1"/>
    <col min="3" max="3" width="25.7109375" customWidth="1"/>
    <col min="4" max="8" width="14.7109375" customWidth="1"/>
    <col min="9" max="9" width="38.28515625" customWidth="1"/>
    <col min="10" max="10" width="30.7109375" customWidth="1"/>
    <col min="11" max="12" width="14.7109375" customWidth="1"/>
    <col min="13" max="13" width="15.7109375" customWidth="1"/>
    <col min="14" max="22" width="14.7109375" customWidth="1"/>
  </cols>
  <sheetData>
    <row r="1" spans="3:13" ht="15" customHeight="1" x14ac:dyDescent="0.25"/>
    <row r="2" spans="3:13" ht="15" customHeight="1" thickBot="1" x14ac:dyDescent="0.3"/>
    <row r="3" spans="3:13" ht="15.75" customHeight="1" x14ac:dyDescent="0.25">
      <c r="C3" s="1189"/>
      <c r="D3" s="1265" t="s">
        <v>96</v>
      </c>
      <c r="E3" s="1266"/>
      <c r="F3" s="1266"/>
      <c r="G3" s="1266"/>
      <c r="H3" s="1266"/>
      <c r="I3" s="1266"/>
      <c r="J3" s="1266"/>
      <c r="K3" s="1266"/>
      <c r="L3" s="1266"/>
      <c r="M3" s="1267"/>
    </row>
    <row r="4" spans="3:13" ht="21" customHeight="1" x14ac:dyDescent="0.25">
      <c r="C4" s="1190"/>
      <c r="D4" s="1268"/>
      <c r="E4" s="1269"/>
      <c r="F4" s="1269"/>
      <c r="G4" s="1269"/>
      <c r="H4" s="1269"/>
      <c r="I4" s="1269"/>
      <c r="J4" s="1269"/>
      <c r="K4" s="1269"/>
      <c r="L4" s="1269"/>
      <c r="M4" s="1270"/>
    </row>
    <row r="5" spans="3:13" ht="15.75" customHeight="1" x14ac:dyDescent="0.25">
      <c r="C5" s="1190"/>
      <c r="D5" s="1271" t="s">
        <v>43</v>
      </c>
      <c r="E5" s="1272"/>
      <c r="F5" s="1272"/>
      <c r="G5" s="1272"/>
      <c r="H5" s="1272"/>
      <c r="I5" s="1272"/>
      <c r="J5" s="1272"/>
      <c r="K5" s="1272"/>
      <c r="L5" s="1272"/>
      <c r="M5" s="1273"/>
    </row>
    <row r="6" spans="3:13" ht="15.75" customHeight="1" thickBot="1" x14ac:dyDescent="0.3">
      <c r="C6" s="1191"/>
      <c r="D6" s="579" t="s">
        <v>19</v>
      </c>
      <c r="E6" s="580" t="s">
        <v>44</v>
      </c>
      <c r="F6" s="580" t="s">
        <v>20</v>
      </c>
      <c r="G6" s="557" t="s">
        <v>21</v>
      </c>
      <c r="H6" s="581" t="s">
        <v>277</v>
      </c>
      <c r="I6" s="580" t="s">
        <v>315</v>
      </c>
      <c r="J6" s="580" t="s">
        <v>316</v>
      </c>
      <c r="K6" s="557" t="s">
        <v>276</v>
      </c>
      <c r="L6" s="582" t="s">
        <v>26</v>
      </c>
      <c r="M6" s="558" t="s">
        <v>275</v>
      </c>
    </row>
    <row r="7" spans="3:13" ht="17.25" thickTop="1" x14ac:dyDescent="0.35">
      <c r="C7" s="560" t="s">
        <v>297</v>
      </c>
      <c r="D7" s="561"/>
      <c r="E7" s="562"/>
      <c r="F7" s="562"/>
      <c r="G7" s="562"/>
      <c r="H7" s="562"/>
      <c r="I7" s="562"/>
      <c r="J7" s="562"/>
      <c r="K7" s="562"/>
      <c r="L7" s="563"/>
      <c r="M7" s="564"/>
    </row>
    <row r="8" spans="3:13" ht="16.5" x14ac:dyDescent="0.25">
      <c r="C8" s="583" t="s">
        <v>278</v>
      </c>
      <c r="D8" s="565">
        <v>19.600000000000001</v>
      </c>
      <c r="E8" s="566">
        <v>30.9</v>
      </c>
      <c r="F8" s="566">
        <v>28.9</v>
      </c>
      <c r="G8" s="566">
        <v>0.7</v>
      </c>
      <c r="H8" s="566">
        <v>121.9</v>
      </c>
      <c r="I8" s="566">
        <v>32.799999999999997</v>
      </c>
      <c r="J8" s="566" t="s">
        <v>79</v>
      </c>
      <c r="K8" s="566" t="s">
        <v>79</v>
      </c>
      <c r="L8" s="567" t="s">
        <v>79</v>
      </c>
      <c r="M8" s="568">
        <f>SUM(D8:L8)</f>
        <v>234.8</v>
      </c>
    </row>
    <row r="9" spans="3:13" ht="16.5" x14ac:dyDescent="0.25">
      <c r="C9" s="584" t="s">
        <v>279</v>
      </c>
      <c r="D9" s="569">
        <v>30.6</v>
      </c>
      <c r="E9" s="570">
        <v>5.6</v>
      </c>
      <c r="F9" s="570">
        <v>23.4</v>
      </c>
      <c r="G9" s="570">
        <v>9.9</v>
      </c>
      <c r="H9" s="570">
        <v>13.8</v>
      </c>
      <c r="I9" s="570">
        <v>21.6</v>
      </c>
      <c r="J9" s="570">
        <v>1.1000000000000001</v>
      </c>
      <c r="K9" s="570" t="s">
        <v>79</v>
      </c>
      <c r="L9" s="577">
        <v>51.9</v>
      </c>
      <c r="M9" s="578">
        <f t="shared" ref="M9:M25" si="0">SUM(D9:L9)</f>
        <v>157.9</v>
      </c>
    </row>
    <row r="10" spans="3:13" ht="16.5" x14ac:dyDescent="0.25">
      <c r="C10" s="584" t="s">
        <v>280</v>
      </c>
      <c r="D10" s="569" t="s">
        <v>79</v>
      </c>
      <c r="E10" s="570" t="s">
        <v>79</v>
      </c>
      <c r="F10" s="570" t="s">
        <v>79</v>
      </c>
      <c r="G10" s="570">
        <v>12.6</v>
      </c>
      <c r="H10" s="570" t="s">
        <v>79</v>
      </c>
      <c r="I10" s="570">
        <v>7</v>
      </c>
      <c r="J10" s="570" t="s">
        <v>79</v>
      </c>
      <c r="K10" s="570" t="s">
        <v>79</v>
      </c>
      <c r="L10" s="571" t="s">
        <v>79</v>
      </c>
      <c r="M10" s="568">
        <f t="shared" si="0"/>
        <v>19.600000000000001</v>
      </c>
    </row>
    <row r="11" spans="3:13" ht="16.5" x14ac:dyDescent="0.25">
      <c r="C11" s="584" t="s">
        <v>281</v>
      </c>
      <c r="D11" s="569">
        <v>2</v>
      </c>
      <c r="E11" s="570" t="s">
        <v>79</v>
      </c>
      <c r="F11" s="570">
        <v>3.1</v>
      </c>
      <c r="G11" s="570">
        <v>6.3</v>
      </c>
      <c r="H11" s="570" t="s">
        <v>79</v>
      </c>
      <c r="I11" s="570" t="s">
        <v>79</v>
      </c>
      <c r="J11" s="570" t="s">
        <v>79</v>
      </c>
      <c r="K11" s="570" t="s">
        <v>79</v>
      </c>
      <c r="L11" s="571" t="s">
        <v>79</v>
      </c>
      <c r="M11" s="568">
        <f t="shared" si="0"/>
        <v>11.399999999999999</v>
      </c>
    </row>
    <row r="12" spans="3:13" ht="16.5" x14ac:dyDescent="0.25">
      <c r="C12" s="584" t="s">
        <v>282</v>
      </c>
      <c r="D12" s="569" t="s">
        <v>79</v>
      </c>
      <c r="E12" s="570">
        <v>21.4</v>
      </c>
      <c r="F12" s="570" t="s">
        <v>79</v>
      </c>
      <c r="G12" s="570" t="s">
        <v>79</v>
      </c>
      <c r="H12" s="570" t="s">
        <v>79</v>
      </c>
      <c r="I12" s="570">
        <v>31.5</v>
      </c>
      <c r="J12" s="570" t="s">
        <v>79</v>
      </c>
      <c r="K12" s="570" t="s">
        <v>79</v>
      </c>
      <c r="L12" s="571" t="s">
        <v>79</v>
      </c>
      <c r="M12" s="568">
        <f t="shared" si="0"/>
        <v>52.9</v>
      </c>
    </row>
    <row r="13" spans="3:13" ht="16.5" x14ac:dyDescent="0.25">
      <c r="C13" s="584" t="s">
        <v>283</v>
      </c>
      <c r="D13" s="569" t="s">
        <v>79</v>
      </c>
      <c r="E13" s="570" t="s">
        <v>79</v>
      </c>
      <c r="F13" s="570" t="s">
        <v>79</v>
      </c>
      <c r="G13" s="570" t="s">
        <v>79</v>
      </c>
      <c r="H13" s="570">
        <v>7.7</v>
      </c>
      <c r="I13" s="570">
        <v>3.2</v>
      </c>
      <c r="J13" s="570" t="s">
        <v>79</v>
      </c>
      <c r="K13" s="570" t="s">
        <v>79</v>
      </c>
      <c r="L13" s="571">
        <v>5</v>
      </c>
      <c r="M13" s="568">
        <f t="shared" si="0"/>
        <v>15.9</v>
      </c>
    </row>
    <row r="14" spans="3:13" ht="16.5" x14ac:dyDescent="0.25">
      <c r="C14" s="584" t="s">
        <v>284</v>
      </c>
      <c r="D14" s="569" t="s">
        <v>79</v>
      </c>
      <c r="E14" s="570">
        <v>14.7</v>
      </c>
      <c r="F14" s="570">
        <v>4</v>
      </c>
      <c r="G14" s="570">
        <v>11.6</v>
      </c>
      <c r="H14" s="570" t="s">
        <v>79</v>
      </c>
      <c r="I14" s="570">
        <v>45.2</v>
      </c>
      <c r="J14" s="570">
        <v>43.6</v>
      </c>
      <c r="K14" s="570">
        <v>5.2</v>
      </c>
      <c r="L14" s="571" t="s">
        <v>79</v>
      </c>
      <c r="M14" s="568">
        <f t="shared" si="0"/>
        <v>124.3</v>
      </c>
    </row>
    <row r="15" spans="3:13" ht="16.5" x14ac:dyDescent="0.25">
      <c r="C15" s="584" t="s">
        <v>285</v>
      </c>
      <c r="D15" s="569" t="s">
        <v>79</v>
      </c>
      <c r="E15" s="570">
        <v>23.7</v>
      </c>
      <c r="F15" s="570">
        <v>1.3</v>
      </c>
      <c r="G15" s="570">
        <v>2.6</v>
      </c>
      <c r="H15" s="570" t="s">
        <v>79</v>
      </c>
      <c r="I15" s="570">
        <v>100.4</v>
      </c>
      <c r="J15" s="570">
        <v>423.6</v>
      </c>
      <c r="K15" s="570">
        <v>116.8</v>
      </c>
      <c r="L15" s="571">
        <v>171.8</v>
      </c>
      <c r="M15" s="568">
        <f t="shared" si="0"/>
        <v>840.2</v>
      </c>
    </row>
    <row r="16" spans="3:13" ht="16.5" x14ac:dyDescent="0.25">
      <c r="C16" s="584" t="s">
        <v>286</v>
      </c>
      <c r="D16" s="569">
        <v>8.5</v>
      </c>
      <c r="E16" s="570" t="s">
        <v>79</v>
      </c>
      <c r="F16" s="570">
        <v>6.7</v>
      </c>
      <c r="G16" s="570">
        <v>13.6</v>
      </c>
      <c r="H16" s="570" t="s">
        <v>79</v>
      </c>
      <c r="I16" s="570">
        <v>47.6</v>
      </c>
      <c r="J16" s="570" t="s">
        <v>79</v>
      </c>
      <c r="K16" s="570">
        <v>9.8000000000000007</v>
      </c>
      <c r="L16" s="571" t="s">
        <v>79</v>
      </c>
      <c r="M16" s="568">
        <f t="shared" si="0"/>
        <v>86.2</v>
      </c>
    </row>
    <row r="17" spans="2:13" ht="16.5" x14ac:dyDescent="0.25">
      <c r="C17" s="584" t="s">
        <v>287</v>
      </c>
      <c r="D17" s="569" t="s">
        <v>79</v>
      </c>
      <c r="E17" s="570" t="s">
        <v>79</v>
      </c>
      <c r="F17" s="570" t="s">
        <v>79</v>
      </c>
      <c r="G17" s="570">
        <v>7.3</v>
      </c>
      <c r="H17" s="570" t="s">
        <v>79</v>
      </c>
      <c r="I17" s="570">
        <v>2.7</v>
      </c>
      <c r="J17" s="570" t="s">
        <v>79</v>
      </c>
      <c r="K17" s="570">
        <v>1.3</v>
      </c>
      <c r="L17" s="571" t="s">
        <v>79</v>
      </c>
      <c r="M17" s="568">
        <f t="shared" si="0"/>
        <v>11.3</v>
      </c>
    </row>
    <row r="18" spans="2:13" ht="16.5" x14ac:dyDescent="0.25">
      <c r="C18" s="584" t="s">
        <v>288</v>
      </c>
      <c r="D18" s="569" t="s">
        <v>79</v>
      </c>
      <c r="E18" s="570" t="s">
        <v>79</v>
      </c>
      <c r="F18" s="570">
        <v>25.5</v>
      </c>
      <c r="G18" s="570">
        <v>11.2</v>
      </c>
      <c r="H18" s="570" t="s">
        <v>79</v>
      </c>
      <c r="I18" s="570">
        <v>63.5</v>
      </c>
      <c r="J18" s="570" t="s">
        <v>79</v>
      </c>
      <c r="K18" s="570">
        <v>37.5</v>
      </c>
      <c r="L18" s="571" t="s">
        <v>79</v>
      </c>
      <c r="M18" s="568">
        <f t="shared" si="0"/>
        <v>137.69999999999999</v>
      </c>
    </row>
    <row r="19" spans="2:13" ht="16.5" customHeight="1" x14ac:dyDescent="0.25">
      <c r="B19" s="556"/>
      <c r="C19" s="584" t="s">
        <v>289</v>
      </c>
      <c r="D19" s="569" t="s">
        <v>79</v>
      </c>
      <c r="E19" s="570" t="s">
        <v>79</v>
      </c>
      <c r="F19" s="570">
        <v>6.2</v>
      </c>
      <c r="G19" s="570" t="s">
        <v>79</v>
      </c>
      <c r="H19" s="570" t="s">
        <v>79</v>
      </c>
      <c r="I19" s="570" t="s">
        <v>79</v>
      </c>
      <c r="J19" s="570" t="s">
        <v>79</v>
      </c>
      <c r="K19" s="570" t="s">
        <v>79</v>
      </c>
      <c r="L19" s="571">
        <v>6.6</v>
      </c>
      <c r="M19" s="568">
        <f t="shared" ref="M19" si="1">SUM(D19:L19)</f>
        <v>12.8</v>
      </c>
    </row>
    <row r="20" spans="2:13" ht="16.5" customHeight="1" x14ac:dyDescent="0.25">
      <c r="B20" s="556"/>
      <c r="C20" s="584" t="s">
        <v>290</v>
      </c>
      <c r="D20" s="569" t="s">
        <v>79</v>
      </c>
      <c r="E20" s="570" t="s">
        <v>79</v>
      </c>
      <c r="F20" s="570" t="s">
        <v>79</v>
      </c>
      <c r="G20" s="570" t="s">
        <v>79</v>
      </c>
      <c r="H20" s="570" t="s">
        <v>79</v>
      </c>
      <c r="I20" s="570" t="s">
        <v>79</v>
      </c>
      <c r="J20" s="570" t="s">
        <v>79</v>
      </c>
      <c r="K20" s="570" t="s">
        <v>79</v>
      </c>
      <c r="L20" s="571" t="s">
        <v>79</v>
      </c>
      <c r="M20" s="568">
        <f t="shared" si="0"/>
        <v>0</v>
      </c>
    </row>
    <row r="21" spans="2:13" ht="16.5" x14ac:dyDescent="0.25">
      <c r="B21" s="556"/>
      <c r="C21" s="584" t="s">
        <v>291</v>
      </c>
      <c r="D21" s="569" t="s">
        <v>79</v>
      </c>
      <c r="E21" s="570" t="s">
        <v>79</v>
      </c>
      <c r="F21" s="570" t="s">
        <v>79</v>
      </c>
      <c r="G21" s="570">
        <v>11.8</v>
      </c>
      <c r="H21" s="570" t="s">
        <v>79</v>
      </c>
      <c r="I21" s="570" t="s">
        <v>79</v>
      </c>
      <c r="J21" s="570" t="s">
        <v>79</v>
      </c>
      <c r="K21" s="570" t="s">
        <v>79</v>
      </c>
      <c r="L21" s="571" t="s">
        <v>79</v>
      </c>
      <c r="M21" s="568">
        <f t="shared" si="0"/>
        <v>11.8</v>
      </c>
    </row>
    <row r="22" spans="2:13" ht="16.5" customHeight="1" x14ac:dyDescent="0.25">
      <c r="B22" s="556"/>
      <c r="C22" s="584" t="s">
        <v>292</v>
      </c>
      <c r="D22" s="569" t="s">
        <v>79</v>
      </c>
      <c r="E22" s="570" t="s">
        <v>79</v>
      </c>
      <c r="F22" s="570" t="s">
        <v>79</v>
      </c>
      <c r="G22" s="570" t="s">
        <v>79</v>
      </c>
      <c r="H22" s="570" t="s">
        <v>79</v>
      </c>
      <c r="I22" s="570">
        <v>11.9</v>
      </c>
      <c r="J22" s="570" t="s">
        <v>79</v>
      </c>
      <c r="K22" s="570" t="s">
        <v>79</v>
      </c>
      <c r="L22" s="571" t="s">
        <v>79</v>
      </c>
      <c r="M22" s="568">
        <f t="shared" si="0"/>
        <v>11.9</v>
      </c>
    </row>
    <row r="23" spans="2:13" ht="16.5" x14ac:dyDescent="0.25">
      <c r="B23" s="556"/>
      <c r="C23" s="584" t="s">
        <v>293</v>
      </c>
      <c r="D23" s="569" t="s">
        <v>79</v>
      </c>
      <c r="E23" s="570" t="s">
        <v>79</v>
      </c>
      <c r="F23" s="570" t="s">
        <v>79</v>
      </c>
      <c r="G23" s="570" t="s">
        <v>79</v>
      </c>
      <c r="H23" s="570" t="s">
        <v>79</v>
      </c>
      <c r="I23" s="570">
        <v>27.2</v>
      </c>
      <c r="J23" s="570" t="s">
        <v>79</v>
      </c>
      <c r="K23" s="570" t="s">
        <v>79</v>
      </c>
      <c r="L23" s="571">
        <v>43.2</v>
      </c>
      <c r="M23" s="568">
        <f t="shared" si="0"/>
        <v>70.400000000000006</v>
      </c>
    </row>
    <row r="24" spans="2:13" ht="16.5" x14ac:dyDescent="0.25">
      <c r="B24" s="556"/>
      <c r="C24" s="584" t="s">
        <v>294</v>
      </c>
      <c r="D24" s="569" t="s">
        <v>79</v>
      </c>
      <c r="E24" s="570" t="s">
        <v>79</v>
      </c>
      <c r="F24" s="570" t="s">
        <v>79</v>
      </c>
      <c r="G24" s="570" t="s">
        <v>79</v>
      </c>
      <c r="H24" s="570" t="s">
        <v>79</v>
      </c>
      <c r="I24" s="570">
        <v>14.4</v>
      </c>
      <c r="J24" s="570" t="s">
        <v>79</v>
      </c>
      <c r="K24" s="570" t="s">
        <v>79</v>
      </c>
      <c r="L24" s="571" t="s">
        <v>79</v>
      </c>
      <c r="M24" s="568">
        <f t="shared" si="0"/>
        <v>14.4</v>
      </c>
    </row>
    <row r="25" spans="2:13" ht="16.5" x14ac:dyDescent="0.25">
      <c r="B25" s="556"/>
      <c r="C25" s="591" t="s">
        <v>295</v>
      </c>
      <c r="D25" s="572" t="s">
        <v>79</v>
      </c>
      <c r="E25" s="573">
        <v>7.3</v>
      </c>
      <c r="F25" s="573" t="s">
        <v>79</v>
      </c>
      <c r="G25" s="573" t="s">
        <v>79</v>
      </c>
      <c r="H25" s="573" t="s">
        <v>79</v>
      </c>
      <c r="I25" s="573">
        <v>17.600000000000001</v>
      </c>
      <c r="J25" s="573" t="s">
        <v>79</v>
      </c>
      <c r="K25" s="573" t="s">
        <v>79</v>
      </c>
      <c r="L25" s="574" t="s">
        <v>79</v>
      </c>
      <c r="M25" s="576">
        <f t="shared" si="0"/>
        <v>24.900000000000002</v>
      </c>
    </row>
    <row r="26" spans="2:13" ht="15.75" thickBot="1" x14ac:dyDescent="0.3">
      <c r="B26" s="556"/>
      <c r="C26" s="1262"/>
      <c r="D26" s="1263"/>
      <c r="E26" s="1263"/>
      <c r="F26" s="1263"/>
      <c r="G26" s="1263"/>
      <c r="H26" s="1263"/>
      <c r="I26" s="1263"/>
      <c r="J26" s="1263"/>
      <c r="K26" s="1263"/>
      <c r="L26" s="1264"/>
      <c r="M26" s="575">
        <f>SUM(M8:M25)</f>
        <v>1838.4000000000003</v>
      </c>
    </row>
  </sheetData>
  <mergeCells count="4">
    <mergeCell ref="C26:L26"/>
    <mergeCell ref="D3:M4"/>
    <mergeCell ref="D5:M5"/>
    <mergeCell ref="C3:C6"/>
  </mergeCells>
  <pageMargins left="0.7" right="0.7" top="0.75" bottom="0.75" header="0.3" footer="0.3"/>
  <pageSetup paperSize="66" orientation="landscape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51353-AE61-4C98-945E-9430B7F796C0}">
  <sheetPr>
    <pageSetUpPr fitToPage="1"/>
  </sheetPr>
  <dimension ref="C1:M27"/>
  <sheetViews>
    <sheetView zoomScale="85" zoomScaleNormal="85" workbookViewId="0">
      <selection activeCell="J34" sqref="J34"/>
    </sheetView>
  </sheetViews>
  <sheetFormatPr defaultRowHeight="15" x14ac:dyDescent="0.25"/>
  <cols>
    <col min="1" max="2" width="9.140625" customWidth="1"/>
    <col min="3" max="3" width="25.7109375" customWidth="1"/>
    <col min="4" max="8" width="14.7109375" customWidth="1"/>
    <col min="9" max="9" width="38.28515625" customWidth="1"/>
    <col min="10" max="10" width="30.7109375" customWidth="1"/>
    <col min="11" max="14" width="14.7109375" customWidth="1"/>
    <col min="15" max="15" width="20.7109375" customWidth="1"/>
    <col min="16" max="19" width="15.7109375" customWidth="1"/>
    <col min="20" max="22" width="14.7109375" customWidth="1"/>
  </cols>
  <sheetData>
    <row r="1" spans="3:13" ht="15" customHeight="1" x14ac:dyDescent="0.25"/>
    <row r="2" spans="3:13" ht="15" customHeight="1" thickBot="1" x14ac:dyDescent="0.3"/>
    <row r="3" spans="3:13" ht="15.75" customHeight="1" x14ac:dyDescent="0.25">
      <c r="C3" s="1189"/>
      <c r="D3" s="1265" t="s">
        <v>96</v>
      </c>
      <c r="E3" s="1266"/>
      <c r="F3" s="1266"/>
      <c r="G3" s="1266"/>
      <c r="H3" s="1266"/>
      <c r="I3" s="1266"/>
      <c r="J3" s="1266"/>
      <c r="K3" s="1266"/>
      <c r="L3" s="1266"/>
      <c r="M3" s="1267"/>
    </row>
    <row r="4" spans="3:13" ht="21" customHeight="1" x14ac:dyDescent="0.25">
      <c r="C4" s="1190"/>
      <c r="D4" s="1268"/>
      <c r="E4" s="1269"/>
      <c r="F4" s="1269"/>
      <c r="G4" s="1269"/>
      <c r="H4" s="1269"/>
      <c r="I4" s="1269"/>
      <c r="J4" s="1269"/>
      <c r="K4" s="1269"/>
      <c r="L4" s="1269"/>
      <c r="M4" s="1270"/>
    </row>
    <row r="5" spans="3:13" ht="15.75" customHeight="1" x14ac:dyDescent="0.25">
      <c r="C5" s="1190"/>
      <c r="D5" s="1271" t="s">
        <v>43</v>
      </c>
      <c r="E5" s="1272"/>
      <c r="F5" s="1272"/>
      <c r="G5" s="1272"/>
      <c r="H5" s="1272"/>
      <c r="I5" s="1272"/>
      <c r="J5" s="1272"/>
      <c r="K5" s="1272"/>
      <c r="L5" s="1272"/>
      <c r="M5" s="1273"/>
    </row>
    <row r="6" spans="3:13" ht="15.75" customHeight="1" thickBot="1" x14ac:dyDescent="0.3">
      <c r="C6" s="1191"/>
      <c r="D6" s="557" t="s">
        <v>19</v>
      </c>
      <c r="E6" s="580" t="s">
        <v>44</v>
      </c>
      <c r="F6" s="557" t="s">
        <v>20</v>
      </c>
      <c r="G6" s="580" t="s">
        <v>21</v>
      </c>
      <c r="H6" s="580" t="s">
        <v>277</v>
      </c>
      <c r="I6" s="580" t="s">
        <v>315</v>
      </c>
      <c r="J6" s="580" t="s">
        <v>316</v>
      </c>
      <c r="K6" s="580" t="s">
        <v>276</v>
      </c>
      <c r="L6" s="559" t="s">
        <v>26</v>
      </c>
      <c r="M6" s="558" t="s">
        <v>296</v>
      </c>
    </row>
    <row r="7" spans="3:13" ht="17.25" thickTop="1" x14ac:dyDescent="0.35">
      <c r="C7" s="560" t="s">
        <v>319</v>
      </c>
      <c r="D7" s="561"/>
      <c r="E7" s="562"/>
      <c r="F7" s="562"/>
      <c r="G7" s="562"/>
      <c r="H7" s="562"/>
      <c r="I7" s="562"/>
      <c r="J7" s="562"/>
      <c r="K7" s="562"/>
      <c r="L7" s="563"/>
      <c r="M7" s="564"/>
    </row>
    <row r="8" spans="3:13" ht="16.5" x14ac:dyDescent="0.25">
      <c r="C8" s="583" t="s">
        <v>298</v>
      </c>
      <c r="D8" s="565">
        <v>1</v>
      </c>
      <c r="E8" s="566" t="s">
        <v>79</v>
      </c>
      <c r="F8" s="566" t="s">
        <v>79</v>
      </c>
      <c r="G8" s="566" t="s">
        <v>79</v>
      </c>
      <c r="H8" s="566" t="s">
        <v>79</v>
      </c>
      <c r="I8" s="566">
        <v>1</v>
      </c>
      <c r="J8" s="566" t="s">
        <v>79</v>
      </c>
      <c r="K8" s="566" t="s">
        <v>79</v>
      </c>
      <c r="L8" s="567" t="s">
        <v>79</v>
      </c>
      <c r="M8" s="568">
        <f>SUM(D8:L8)</f>
        <v>2</v>
      </c>
    </row>
    <row r="9" spans="3:13" ht="16.5" x14ac:dyDescent="0.25">
      <c r="C9" s="584" t="s">
        <v>299</v>
      </c>
      <c r="D9" s="569" t="s">
        <v>79</v>
      </c>
      <c r="E9" s="570">
        <v>1</v>
      </c>
      <c r="F9" s="570" t="s">
        <v>79</v>
      </c>
      <c r="G9" s="570">
        <v>2</v>
      </c>
      <c r="H9" s="570">
        <v>3</v>
      </c>
      <c r="I9" s="570">
        <v>3</v>
      </c>
      <c r="J9" s="570" t="s">
        <v>79</v>
      </c>
      <c r="K9" s="570" t="s">
        <v>79</v>
      </c>
      <c r="L9" s="577">
        <v>3</v>
      </c>
      <c r="M9" s="578">
        <f t="shared" ref="M9:M26" si="0">SUM(D9:L9)</f>
        <v>12</v>
      </c>
    </row>
    <row r="10" spans="3:13" ht="16.5" x14ac:dyDescent="0.25">
      <c r="C10" s="584" t="s">
        <v>300</v>
      </c>
      <c r="D10" s="569">
        <v>1</v>
      </c>
      <c r="E10" s="570" t="s">
        <v>79</v>
      </c>
      <c r="F10" s="570" t="s">
        <v>79</v>
      </c>
      <c r="G10" s="570" t="s">
        <v>79</v>
      </c>
      <c r="H10" s="570" t="s">
        <v>79</v>
      </c>
      <c r="I10" s="570" t="s">
        <v>79</v>
      </c>
      <c r="J10" s="570" t="s">
        <v>79</v>
      </c>
      <c r="K10" s="570" t="s">
        <v>79</v>
      </c>
      <c r="L10" s="571" t="s">
        <v>79</v>
      </c>
      <c r="M10" s="568">
        <f t="shared" si="0"/>
        <v>1</v>
      </c>
    </row>
    <row r="11" spans="3:13" ht="16.5" x14ac:dyDescent="0.25">
      <c r="C11" s="584" t="s">
        <v>301</v>
      </c>
      <c r="D11" s="569" t="s">
        <v>79</v>
      </c>
      <c r="E11" s="570" t="s">
        <v>79</v>
      </c>
      <c r="F11" s="570">
        <v>1</v>
      </c>
      <c r="G11" s="570" t="s">
        <v>79</v>
      </c>
      <c r="H11" s="570" t="s">
        <v>79</v>
      </c>
      <c r="I11" s="570" t="s">
        <v>79</v>
      </c>
      <c r="J11" s="570">
        <v>2</v>
      </c>
      <c r="K11" s="570" t="s">
        <v>79</v>
      </c>
      <c r="L11" s="571" t="s">
        <v>79</v>
      </c>
      <c r="M11" s="568">
        <f t="shared" si="0"/>
        <v>3</v>
      </c>
    </row>
    <row r="12" spans="3:13" ht="16.5" x14ac:dyDescent="0.25">
      <c r="C12" s="584" t="s">
        <v>302</v>
      </c>
      <c r="D12" s="569" t="s">
        <v>79</v>
      </c>
      <c r="E12" s="570" t="s">
        <v>79</v>
      </c>
      <c r="F12" s="570" t="s">
        <v>79</v>
      </c>
      <c r="G12" s="570" t="s">
        <v>79</v>
      </c>
      <c r="H12" s="570" t="s">
        <v>79</v>
      </c>
      <c r="I12" s="570">
        <v>2</v>
      </c>
      <c r="J12" s="570" t="s">
        <v>79</v>
      </c>
      <c r="K12" s="570" t="s">
        <v>79</v>
      </c>
      <c r="L12" s="571" t="s">
        <v>79</v>
      </c>
      <c r="M12" s="568">
        <f t="shared" si="0"/>
        <v>2</v>
      </c>
    </row>
    <row r="13" spans="3:13" ht="16.5" x14ac:dyDescent="0.25">
      <c r="C13" s="584" t="s">
        <v>303</v>
      </c>
      <c r="D13" s="569" t="s">
        <v>79</v>
      </c>
      <c r="E13" s="570" t="s">
        <v>79</v>
      </c>
      <c r="F13" s="570" t="s">
        <v>79</v>
      </c>
      <c r="G13" s="570" t="s">
        <v>79</v>
      </c>
      <c r="H13" s="570">
        <v>2</v>
      </c>
      <c r="I13" s="570">
        <v>3</v>
      </c>
      <c r="J13" s="570" t="s">
        <v>79</v>
      </c>
      <c r="K13" s="570" t="s">
        <v>79</v>
      </c>
      <c r="L13" s="571" t="s">
        <v>79</v>
      </c>
      <c r="M13" s="568">
        <f t="shared" si="0"/>
        <v>5</v>
      </c>
    </row>
    <row r="14" spans="3:13" ht="16.5" x14ac:dyDescent="0.25">
      <c r="C14" s="584" t="s">
        <v>304</v>
      </c>
      <c r="D14" s="569" t="s">
        <v>79</v>
      </c>
      <c r="E14" s="570" t="s">
        <v>79</v>
      </c>
      <c r="F14" s="570" t="s">
        <v>79</v>
      </c>
      <c r="G14" s="570" t="s">
        <v>79</v>
      </c>
      <c r="H14" s="570">
        <v>1</v>
      </c>
      <c r="I14" s="570" t="s">
        <v>79</v>
      </c>
      <c r="J14" s="570" t="s">
        <v>79</v>
      </c>
      <c r="K14" s="570" t="s">
        <v>79</v>
      </c>
      <c r="L14" s="571" t="s">
        <v>79</v>
      </c>
      <c r="M14" s="568">
        <f t="shared" si="0"/>
        <v>1</v>
      </c>
    </row>
    <row r="15" spans="3:13" ht="16.5" x14ac:dyDescent="0.25">
      <c r="C15" s="584" t="s">
        <v>305</v>
      </c>
      <c r="D15" s="569" t="s">
        <v>79</v>
      </c>
      <c r="E15" s="570" t="s">
        <v>79</v>
      </c>
      <c r="F15" s="570" t="s">
        <v>79</v>
      </c>
      <c r="G15" s="570" t="s">
        <v>79</v>
      </c>
      <c r="H15" s="570" t="s">
        <v>79</v>
      </c>
      <c r="I15" s="570">
        <v>2</v>
      </c>
      <c r="J15" s="570" t="s">
        <v>79</v>
      </c>
      <c r="K15" s="570" t="s">
        <v>79</v>
      </c>
      <c r="L15" s="571" t="s">
        <v>79</v>
      </c>
      <c r="M15" s="568">
        <f t="shared" si="0"/>
        <v>2</v>
      </c>
    </row>
    <row r="16" spans="3:13" ht="16.5" x14ac:dyDescent="0.25">
      <c r="C16" s="584" t="s">
        <v>306</v>
      </c>
      <c r="D16" s="569" t="s">
        <v>79</v>
      </c>
      <c r="E16" s="570" t="s">
        <v>79</v>
      </c>
      <c r="F16" s="570" t="s">
        <v>79</v>
      </c>
      <c r="G16" s="570">
        <v>1</v>
      </c>
      <c r="H16" s="570" t="s">
        <v>79</v>
      </c>
      <c r="I16" s="570">
        <v>1</v>
      </c>
      <c r="J16" s="570">
        <v>1</v>
      </c>
      <c r="K16" s="570" t="s">
        <v>79</v>
      </c>
      <c r="L16" s="571">
        <v>2</v>
      </c>
      <c r="M16" s="568">
        <f t="shared" si="0"/>
        <v>5</v>
      </c>
    </row>
    <row r="17" spans="3:13" ht="16.5" x14ac:dyDescent="0.25">
      <c r="C17" s="584" t="s">
        <v>307</v>
      </c>
      <c r="D17" s="569" t="s">
        <v>79</v>
      </c>
      <c r="E17" s="570" t="s">
        <v>79</v>
      </c>
      <c r="F17" s="570" t="s">
        <v>79</v>
      </c>
      <c r="G17" s="570" t="s">
        <v>79</v>
      </c>
      <c r="H17" s="570" t="s">
        <v>79</v>
      </c>
      <c r="I17" s="570" t="s">
        <v>79</v>
      </c>
      <c r="J17" s="570">
        <v>1</v>
      </c>
      <c r="K17" s="570">
        <v>1</v>
      </c>
      <c r="L17" s="571" t="s">
        <v>79</v>
      </c>
      <c r="M17" s="568">
        <f t="shared" si="0"/>
        <v>2</v>
      </c>
    </row>
    <row r="18" spans="3:13" ht="16.5" x14ac:dyDescent="0.25">
      <c r="C18" s="584" t="s">
        <v>308</v>
      </c>
      <c r="D18" s="569" t="s">
        <v>79</v>
      </c>
      <c r="E18" s="570" t="s">
        <v>79</v>
      </c>
      <c r="F18" s="570" t="s">
        <v>79</v>
      </c>
      <c r="G18" s="570" t="s">
        <v>79</v>
      </c>
      <c r="H18" s="570" t="s">
        <v>79</v>
      </c>
      <c r="I18" s="570" t="s">
        <v>79</v>
      </c>
      <c r="J18" s="570">
        <v>1</v>
      </c>
      <c r="K18" s="570" t="s">
        <v>79</v>
      </c>
      <c r="L18" s="571" t="s">
        <v>79</v>
      </c>
      <c r="M18" s="568">
        <f t="shared" si="0"/>
        <v>1</v>
      </c>
    </row>
    <row r="19" spans="3:13" ht="16.5" x14ac:dyDescent="0.25">
      <c r="C19" s="584" t="s">
        <v>314</v>
      </c>
      <c r="D19" s="569" t="s">
        <v>79</v>
      </c>
      <c r="E19" s="570" t="s">
        <v>79</v>
      </c>
      <c r="F19" s="570" t="s">
        <v>79</v>
      </c>
      <c r="G19" s="570" t="s">
        <v>79</v>
      </c>
      <c r="H19" s="570" t="s">
        <v>79</v>
      </c>
      <c r="I19" s="570">
        <v>10</v>
      </c>
      <c r="J19" s="570" t="s">
        <v>79</v>
      </c>
      <c r="K19" s="570">
        <v>2</v>
      </c>
      <c r="L19" s="571" t="s">
        <v>79</v>
      </c>
      <c r="M19" s="568">
        <f t="shared" si="0"/>
        <v>12</v>
      </c>
    </row>
    <row r="20" spans="3:13" ht="16.5" x14ac:dyDescent="0.25">
      <c r="C20" s="584" t="s">
        <v>309</v>
      </c>
      <c r="D20" s="569">
        <v>2</v>
      </c>
      <c r="E20" s="570" t="s">
        <v>79</v>
      </c>
      <c r="F20" s="570" t="s">
        <v>79</v>
      </c>
      <c r="G20" s="570">
        <v>1</v>
      </c>
      <c r="H20" s="570">
        <v>1</v>
      </c>
      <c r="I20" s="570">
        <v>1</v>
      </c>
      <c r="J20" s="570" t="s">
        <v>79</v>
      </c>
      <c r="K20" s="570" t="s">
        <v>79</v>
      </c>
      <c r="L20" s="571" t="s">
        <v>79</v>
      </c>
      <c r="M20" s="568">
        <f t="shared" si="0"/>
        <v>5</v>
      </c>
    </row>
    <row r="21" spans="3:13" ht="16.5" x14ac:dyDescent="0.25">
      <c r="C21" s="584" t="s">
        <v>310</v>
      </c>
      <c r="D21" s="569">
        <v>3</v>
      </c>
      <c r="E21" s="570" t="s">
        <v>79</v>
      </c>
      <c r="F21" s="570">
        <v>3</v>
      </c>
      <c r="G21" s="570" t="s">
        <v>79</v>
      </c>
      <c r="H21" s="570" t="s">
        <v>79</v>
      </c>
      <c r="I21" s="570">
        <v>6</v>
      </c>
      <c r="J21" s="570">
        <v>2</v>
      </c>
      <c r="K21" s="570" t="s">
        <v>79</v>
      </c>
      <c r="L21" s="571">
        <v>1</v>
      </c>
      <c r="M21" s="568">
        <f t="shared" si="0"/>
        <v>15</v>
      </c>
    </row>
    <row r="22" spans="3:13" ht="16.5" x14ac:dyDescent="0.25">
      <c r="C22" s="584" t="s">
        <v>311</v>
      </c>
      <c r="D22" s="569">
        <v>16</v>
      </c>
      <c r="E22" s="570">
        <v>9</v>
      </c>
      <c r="F22" s="570">
        <v>6</v>
      </c>
      <c r="G22" s="570">
        <v>15</v>
      </c>
      <c r="H22" s="570">
        <v>20</v>
      </c>
      <c r="I22" s="570">
        <v>52</v>
      </c>
      <c r="J22" s="570">
        <v>31</v>
      </c>
      <c r="K22" s="570">
        <v>25</v>
      </c>
      <c r="L22" s="571">
        <v>23</v>
      </c>
      <c r="M22" s="568">
        <f t="shared" si="0"/>
        <v>197</v>
      </c>
    </row>
    <row r="23" spans="3:13" ht="16.5" x14ac:dyDescent="0.25">
      <c r="C23" s="584" t="s">
        <v>312</v>
      </c>
      <c r="D23" s="569">
        <v>3</v>
      </c>
      <c r="E23" s="570" t="s">
        <v>79</v>
      </c>
      <c r="F23" s="570">
        <v>4</v>
      </c>
      <c r="G23" s="570">
        <v>7</v>
      </c>
      <c r="H23" s="570">
        <v>1</v>
      </c>
      <c r="I23" s="570">
        <v>6</v>
      </c>
      <c r="J23" s="570">
        <v>2</v>
      </c>
      <c r="K23" s="570" t="s">
        <v>79</v>
      </c>
      <c r="L23" s="571" t="s">
        <v>79</v>
      </c>
      <c r="M23" s="568">
        <f t="shared" si="0"/>
        <v>23</v>
      </c>
    </row>
    <row r="24" spans="3:13" ht="15" customHeight="1" x14ac:dyDescent="0.25">
      <c r="C24" s="584" t="s">
        <v>313</v>
      </c>
      <c r="D24" s="569" t="s">
        <v>79</v>
      </c>
      <c r="E24" s="570" t="s">
        <v>79</v>
      </c>
      <c r="F24" s="570">
        <v>1</v>
      </c>
      <c r="G24" s="570" t="s">
        <v>79</v>
      </c>
      <c r="H24" s="570">
        <v>1</v>
      </c>
      <c r="I24" s="570" t="s">
        <v>79</v>
      </c>
      <c r="J24" s="570" t="s">
        <v>79</v>
      </c>
      <c r="K24" s="570" t="s">
        <v>79</v>
      </c>
      <c r="L24" s="571" t="s">
        <v>79</v>
      </c>
      <c r="M24" s="568">
        <f t="shared" si="0"/>
        <v>2</v>
      </c>
    </row>
    <row r="25" spans="3:13" ht="15" customHeight="1" x14ac:dyDescent="0.25">
      <c r="C25" s="584" t="s">
        <v>317</v>
      </c>
      <c r="D25" s="569">
        <v>4</v>
      </c>
      <c r="E25" s="570">
        <v>4</v>
      </c>
      <c r="F25" s="570">
        <v>3</v>
      </c>
      <c r="G25" s="570">
        <v>5</v>
      </c>
      <c r="H25" s="570">
        <v>4</v>
      </c>
      <c r="I25" s="570">
        <v>6</v>
      </c>
      <c r="J25" s="570" t="s">
        <v>79</v>
      </c>
      <c r="K25" s="570">
        <v>2</v>
      </c>
      <c r="L25" s="571">
        <v>2</v>
      </c>
      <c r="M25" s="578">
        <f t="shared" si="0"/>
        <v>30</v>
      </c>
    </row>
    <row r="26" spans="3:13" ht="17.25" thickBot="1" x14ac:dyDescent="0.4">
      <c r="C26" s="585" t="s">
        <v>318</v>
      </c>
      <c r="D26" s="587" t="s">
        <v>79</v>
      </c>
      <c r="E26" s="588" t="s">
        <v>79</v>
      </c>
      <c r="F26" s="589" t="s">
        <v>79</v>
      </c>
      <c r="G26" s="215" t="s">
        <v>79</v>
      </c>
      <c r="H26" s="588" t="s">
        <v>79</v>
      </c>
      <c r="I26" s="588">
        <v>1</v>
      </c>
      <c r="J26" s="589">
        <v>1</v>
      </c>
      <c r="K26" s="215" t="s">
        <v>79</v>
      </c>
      <c r="L26" s="590">
        <v>1</v>
      </c>
      <c r="M26" s="586">
        <f t="shared" si="0"/>
        <v>3</v>
      </c>
    </row>
    <row r="27" spans="3:13" ht="15.75" customHeight="1" x14ac:dyDescent="0.25"/>
  </sheetData>
  <mergeCells count="3">
    <mergeCell ref="D3:M4"/>
    <mergeCell ref="D5:M5"/>
    <mergeCell ref="C3:C6"/>
  </mergeCells>
  <pageMargins left="0.7" right="0.7" top="0.75" bottom="0.75" header="0.3" footer="0.3"/>
  <pageSetup paperSize="66" orientation="landscape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8B80D-EA3C-41CE-9F5B-9F6D81D76E1F}">
  <sheetPr>
    <pageSetUpPr fitToPage="1"/>
  </sheetPr>
  <dimension ref="A1:K321"/>
  <sheetViews>
    <sheetView zoomScale="70" zoomScaleNormal="70" workbookViewId="0">
      <selection activeCell="K262" sqref="K262"/>
    </sheetView>
  </sheetViews>
  <sheetFormatPr defaultRowHeight="15" x14ac:dyDescent="0.35"/>
  <cols>
    <col min="1" max="1" width="8.5703125" style="1512" bestFit="1" customWidth="1"/>
    <col min="2" max="2" width="9.140625" style="1512"/>
    <col min="3" max="3" width="16" style="1512" bestFit="1" customWidth="1"/>
    <col min="4" max="5" width="9.140625" style="1512"/>
    <col min="6" max="6" width="14.5703125" style="1512" bestFit="1" customWidth="1"/>
    <col min="7" max="7" width="7.5703125" style="1512" bestFit="1" customWidth="1"/>
    <col min="8" max="8" width="50" style="1512" bestFit="1" customWidth="1"/>
    <col min="9" max="9" width="70" style="1512" bestFit="1" customWidth="1"/>
    <col min="10" max="10" width="20" style="1512" customWidth="1"/>
    <col min="11" max="11" width="76.28515625" style="1512" bestFit="1" customWidth="1"/>
    <col min="12" max="16384" width="9.140625" style="1402"/>
  </cols>
  <sheetData>
    <row r="1" spans="1:11" ht="31.5" customHeight="1" x14ac:dyDescent="0.35">
      <c r="A1" s="1401" t="s">
        <v>427</v>
      </c>
      <c r="B1" s="1401"/>
      <c r="C1" s="1401"/>
      <c r="D1" s="1401"/>
      <c r="E1" s="1401"/>
      <c r="F1" s="1401"/>
      <c r="G1" s="1401"/>
      <c r="H1" s="1401"/>
      <c r="I1" s="1401"/>
      <c r="J1" s="1401"/>
      <c r="K1" s="1401"/>
    </row>
    <row r="2" spans="1:11" ht="25.5" customHeight="1" x14ac:dyDescent="0.35">
      <c r="A2" s="1403" t="s">
        <v>428</v>
      </c>
      <c r="B2" s="1403"/>
      <c r="C2" s="1403"/>
      <c r="D2" s="1403"/>
      <c r="E2" s="1403"/>
      <c r="F2" s="1403"/>
      <c r="G2" s="1403"/>
      <c r="H2" s="1403"/>
      <c r="I2" s="1403"/>
      <c r="J2" s="1403"/>
      <c r="K2" s="1403"/>
    </row>
    <row r="3" spans="1:11" s="1405" customFormat="1" x14ac:dyDescent="0.35">
      <c r="A3" s="1404" t="s">
        <v>128</v>
      </c>
      <c r="B3" s="1404" t="s">
        <v>0</v>
      </c>
      <c r="C3" s="1404" t="s">
        <v>334</v>
      </c>
      <c r="D3" s="1404" t="s">
        <v>335</v>
      </c>
      <c r="E3" s="1404"/>
      <c r="F3" s="1404" t="s">
        <v>336</v>
      </c>
      <c r="G3" s="1404" t="s">
        <v>337</v>
      </c>
      <c r="H3" s="1404" t="s">
        <v>338</v>
      </c>
      <c r="I3" s="1404" t="s">
        <v>429</v>
      </c>
      <c r="J3" s="1404" t="s">
        <v>339</v>
      </c>
      <c r="K3" s="1404" t="s">
        <v>430</v>
      </c>
    </row>
    <row r="4" spans="1:11" s="1405" customFormat="1" ht="15.75" thickBot="1" x14ac:dyDescent="0.4">
      <c r="A4" s="1406"/>
      <c r="B4" s="1406"/>
      <c r="C4" s="1406"/>
      <c r="D4" s="1407" t="s">
        <v>340</v>
      </c>
      <c r="E4" s="1407" t="s">
        <v>341</v>
      </c>
      <c r="F4" s="1406"/>
      <c r="G4" s="1406"/>
      <c r="H4" s="1406"/>
      <c r="I4" s="1406"/>
      <c r="J4" s="1406"/>
      <c r="K4" s="1406"/>
    </row>
    <row r="5" spans="1:11" ht="15" customHeight="1" thickTop="1" x14ac:dyDescent="0.35">
      <c r="A5" s="1408" t="s">
        <v>342</v>
      </c>
      <c r="B5" s="1409">
        <v>1</v>
      </c>
      <c r="C5" s="1409" t="s">
        <v>51</v>
      </c>
      <c r="D5" s="1409">
        <v>65</v>
      </c>
      <c r="E5" s="1410">
        <f>SUM(D5*10.76)</f>
        <v>699.4</v>
      </c>
      <c r="F5" s="1409" t="s">
        <v>347</v>
      </c>
      <c r="G5" s="1409">
        <v>2</v>
      </c>
      <c r="H5" s="1409" t="s">
        <v>431</v>
      </c>
      <c r="I5" s="1409" t="s">
        <v>432</v>
      </c>
      <c r="J5" s="1409">
        <v>73</v>
      </c>
      <c r="K5" s="1409" t="s">
        <v>433</v>
      </c>
    </row>
    <row r="6" spans="1:11" x14ac:dyDescent="0.35">
      <c r="A6" s="1411"/>
      <c r="B6" s="1412">
        <v>2</v>
      </c>
      <c r="C6" s="1412" t="s">
        <v>51</v>
      </c>
      <c r="D6" s="1412">
        <v>103</v>
      </c>
      <c r="E6" s="1413">
        <f t="shared" ref="E6:E20" si="0">SUM(D6*10.76)</f>
        <v>1108.28</v>
      </c>
      <c r="F6" s="1412" t="s">
        <v>348</v>
      </c>
      <c r="G6" s="1412">
        <v>2</v>
      </c>
      <c r="H6" s="1412" t="s">
        <v>431</v>
      </c>
      <c r="I6" s="1412" t="s">
        <v>432</v>
      </c>
      <c r="J6" s="1409">
        <v>105</v>
      </c>
      <c r="K6" s="1409" t="s">
        <v>433</v>
      </c>
    </row>
    <row r="7" spans="1:11" x14ac:dyDescent="0.35">
      <c r="A7" s="1411"/>
      <c r="B7" s="1412">
        <v>3</v>
      </c>
      <c r="C7" s="1412" t="s">
        <v>15</v>
      </c>
      <c r="D7" s="1412">
        <v>83.5</v>
      </c>
      <c r="E7" s="1413">
        <f t="shared" si="0"/>
        <v>898.46</v>
      </c>
      <c r="F7" s="1412" t="s">
        <v>349</v>
      </c>
      <c r="G7" s="1412">
        <v>2</v>
      </c>
      <c r="H7" s="1412" t="s">
        <v>434</v>
      </c>
      <c r="I7" s="1412" t="s">
        <v>435</v>
      </c>
      <c r="J7" s="1412">
        <v>165</v>
      </c>
      <c r="K7" s="1412" t="s">
        <v>436</v>
      </c>
    </row>
    <row r="8" spans="1:11" x14ac:dyDescent="0.35">
      <c r="A8" s="1411"/>
      <c r="B8" s="1412">
        <v>4</v>
      </c>
      <c r="C8" s="1412" t="s">
        <v>15</v>
      </c>
      <c r="D8" s="1412">
        <v>97.7</v>
      </c>
      <c r="E8" s="1413">
        <f t="shared" si="0"/>
        <v>1051.252</v>
      </c>
      <c r="F8" s="1412" t="s">
        <v>349</v>
      </c>
      <c r="G8" s="1412">
        <v>2</v>
      </c>
      <c r="H8" s="1412" t="s">
        <v>434</v>
      </c>
      <c r="I8" s="1412" t="s">
        <v>435</v>
      </c>
      <c r="J8" s="1412">
        <v>75</v>
      </c>
      <c r="K8" s="1412" t="s">
        <v>437</v>
      </c>
    </row>
    <row r="9" spans="1:11" x14ac:dyDescent="0.35">
      <c r="A9" s="1414"/>
      <c r="B9" s="1412">
        <v>5</v>
      </c>
      <c r="C9" s="1412" t="s">
        <v>15</v>
      </c>
      <c r="D9" s="1412">
        <v>70.2</v>
      </c>
      <c r="E9" s="1413">
        <f t="shared" si="0"/>
        <v>755.35199999999998</v>
      </c>
      <c r="F9" s="1412" t="s">
        <v>347</v>
      </c>
      <c r="G9" s="1412">
        <v>2</v>
      </c>
      <c r="H9" s="1412" t="s">
        <v>431</v>
      </c>
      <c r="I9" s="1412" t="s">
        <v>435</v>
      </c>
      <c r="J9" s="1412">
        <v>208</v>
      </c>
      <c r="K9" s="1412" t="s">
        <v>436</v>
      </c>
    </row>
    <row r="10" spans="1:11" x14ac:dyDescent="0.35">
      <c r="A10" s="1415" t="s">
        <v>44</v>
      </c>
      <c r="B10" s="1416">
        <v>6</v>
      </c>
      <c r="C10" s="1416" t="s">
        <v>15</v>
      </c>
      <c r="D10" s="1417">
        <v>100.6</v>
      </c>
      <c r="E10" s="1418">
        <f t="shared" ref="E10:E11" si="1">SUM(D10*10.7639)</f>
        <v>1082.84834</v>
      </c>
      <c r="F10" s="1416" t="s">
        <v>348</v>
      </c>
      <c r="G10" s="1416">
        <v>2</v>
      </c>
      <c r="H10" s="1416" t="s">
        <v>434</v>
      </c>
      <c r="I10" s="1416" t="s">
        <v>438</v>
      </c>
      <c r="J10" s="1416">
        <v>73</v>
      </c>
      <c r="K10" s="1416" t="s">
        <v>439</v>
      </c>
    </row>
    <row r="11" spans="1:11" x14ac:dyDescent="0.35">
      <c r="A11" s="1419"/>
      <c r="B11" s="1416">
        <v>7</v>
      </c>
      <c r="C11" s="1416" t="s">
        <v>15</v>
      </c>
      <c r="D11" s="1417">
        <v>79.8</v>
      </c>
      <c r="E11" s="1418">
        <f t="shared" si="1"/>
        <v>858.95921999999996</v>
      </c>
      <c r="F11" s="1416" t="s">
        <v>347</v>
      </c>
      <c r="G11" s="1416">
        <v>2</v>
      </c>
      <c r="H11" s="1416" t="s">
        <v>431</v>
      </c>
      <c r="I11" s="1416" t="s">
        <v>438</v>
      </c>
      <c r="J11" s="1416">
        <v>181</v>
      </c>
      <c r="K11" s="1416" t="s">
        <v>440</v>
      </c>
    </row>
    <row r="12" spans="1:11" x14ac:dyDescent="0.35">
      <c r="A12" s="1419"/>
      <c r="B12" s="1416">
        <v>8</v>
      </c>
      <c r="C12" s="1416" t="s">
        <v>15</v>
      </c>
      <c r="D12" s="1420">
        <v>140.19999999999999</v>
      </c>
      <c r="E12" s="1421">
        <f>SUM(D12*10.7639)</f>
        <v>1509.0987799999998</v>
      </c>
      <c r="F12" s="1416" t="s">
        <v>350</v>
      </c>
      <c r="G12" s="1416">
        <v>3</v>
      </c>
      <c r="H12" s="1416" t="s">
        <v>434</v>
      </c>
      <c r="I12" s="1416" t="s">
        <v>441</v>
      </c>
      <c r="J12" s="1416">
        <v>297</v>
      </c>
      <c r="K12" s="1416" t="s">
        <v>442</v>
      </c>
    </row>
    <row r="13" spans="1:11" x14ac:dyDescent="0.35">
      <c r="A13" s="1419"/>
      <c r="B13" s="1416">
        <v>9</v>
      </c>
      <c r="C13" s="1416" t="s">
        <v>51</v>
      </c>
      <c r="D13" s="1417">
        <v>85</v>
      </c>
      <c r="E13" s="1418">
        <f t="shared" ref="E13:E18" si="2">SUM(D13*10.7639)</f>
        <v>914.93149999999991</v>
      </c>
      <c r="F13" s="1416" t="s">
        <v>349</v>
      </c>
      <c r="G13" s="1416">
        <v>2</v>
      </c>
      <c r="H13" s="1416" t="s">
        <v>431</v>
      </c>
      <c r="I13" s="1416" t="s">
        <v>432</v>
      </c>
      <c r="J13" s="1416">
        <v>140</v>
      </c>
      <c r="K13" s="1422" t="s">
        <v>443</v>
      </c>
    </row>
    <row r="14" spans="1:11" x14ac:dyDescent="0.35">
      <c r="A14" s="1419"/>
      <c r="B14" s="1416">
        <v>10</v>
      </c>
      <c r="C14" s="1416" t="s">
        <v>51</v>
      </c>
      <c r="D14" s="1417">
        <v>54.5</v>
      </c>
      <c r="E14" s="1418">
        <f t="shared" si="2"/>
        <v>586.63254999999992</v>
      </c>
      <c r="F14" s="1416" t="s">
        <v>351</v>
      </c>
      <c r="G14" s="1416">
        <v>2</v>
      </c>
      <c r="H14" s="1416" t="s">
        <v>431</v>
      </c>
      <c r="I14" s="1416" t="s">
        <v>432</v>
      </c>
      <c r="J14" s="1416">
        <v>102</v>
      </c>
      <c r="K14" s="1422" t="s">
        <v>444</v>
      </c>
    </row>
    <row r="15" spans="1:11" x14ac:dyDescent="0.35">
      <c r="A15" s="1419"/>
      <c r="B15" s="1416">
        <v>11</v>
      </c>
      <c r="C15" s="1416" t="s">
        <v>51</v>
      </c>
      <c r="D15" s="1417">
        <v>86.1</v>
      </c>
      <c r="E15" s="1418">
        <f t="shared" si="2"/>
        <v>926.7717899999999</v>
      </c>
      <c r="F15" s="1416" t="s">
        <v>347</v>
      </c>
      <c r="G15" s="1416">
        <v>2</v>
      </c>
      <c r="H15" s="1416" t="s">
        <v>431</v>
      </c>
      <c r="I15" s="1416" t="s">
        <v>432</v>
      </c>
      <c r="J15" s="1416">
        <v>51</v>
      </c>
      <c r="K15" s="1422" t="s">
        <v>445</v>
      </c>
    </row>
    <row r="16" spans="1:11" x14ac:dyDescent="0.35">
      <c r="A16" s="1419"/>
      <c r="B16" s="1416">
        <v>12</v>
      </c>
      <c r="C16" s="1416" t="s">
        <v>15</v>
      </c>
      <c r="D16" s="1417">
        <v>71.5</v>
      </c>
      <c r="E16" s="1418">
        <f t="shared" si="2"/>
        <v>769.61884999999995</v>
      </c>
      <c r="F16" s="1416" t="s">
        <v>347</v>
      </c>
      <c r="G16" s="1416">
        <v>2</v>
      </c>
      <c r="H16" s="1416" t="s">
        <v>431</v>
      </c>
      <c r="I16" s="1416" t="s">
        <v>435</v>
      </c>
      <c r="J16" s="1416">
        <v>146</v>
      </c>
      <c r="K16" s="1416" t="s">
        <v>446</v>
      </c>
    </row>
    <row r="17" spans="1:11" x14ac:dyDescent="0.35">
      <c r="A17" s="1419"/>
      <c r="B17" s="1416">
        <v>13</v>
      </c>
      <c r="C17" s="1416" t="s">
        <v>15</v>
      </c>
      <c r="D17" s="1417">
        <v>105.8</v>
      </c>
      <c r="E17" s="1418">
        <f t="shared" si="2"/>
        <v>1138.82062</v>
      </c>
      <c r="F17" s="1416" t="s">
        <v>352</v>
      </c>
      <c r="G17" s="1416">
        <v>3</v>
      </c>
      <c r="H17" s="1416" t="s">
        <v>434</v>
      </c>
      <c r="I17" s="1416" t="s">
        <v>432</v>
      </c>
      <c r="J17" s="1416">
        <v>164</v>
      </c>
      <c r="K17" s="1416" t="s">
        <v>447</v>
      </c>
    </row>
    <row r="18" spans="1:11" x14ac:dyDescent="0.35">
      <c r="A18" s="1423"/>
      <c r="B18" s="1416">
        <v>14</v>
      </c>
      <c r="C18" s="1416" t="s">
        <v>15</v>
      </c>
      <c r="D18" s="1417">
        <v>70.599999999999994</v>
      </c>
      <c r="E18" s="1418">
        <f t="shared" si="2"/>
        <v>759.93133999999986</v>
      </c>
      <c r="F18" s="1416" t="s">
        <v>347</v>
      </c>
      <c r="G18" s="1416">
        <v>2</v>
      </c>
      <c r="H18" s="1416" t="s">
        <v>431</v>
      </c>
      <c r="I18" s="1416" t="s">
        <v>438</v>
      </c>
      <c r="J18" s="1416">
        <v>123</v>
      </c>
      <c r="K18" s="1416" t="s">
        <v>446</v>
      </c>
    </row>
    <row r="19" spans="1:11" x14ac:dyDescent="0.35">
      <c r="A19" s="1411" t="s">
        <v>342</v>
      </c>
      <c r="B19" s="1412">
        <v>15</v>
      </c>
      <c r="C19" s="1412" t="s">
        <v>15</v>
      </c>
      <c r="D19" s="1412">
        <v>99.3</v>
      </c>
      <c r="E19" s="1413">
        <f t="shared" si="0"/>
        <v>1068.4679999999998</v>
      </c>
      <c r="F19" s="1412" t="s">
        <v>352</v>
      </c>
      <c r="G19" s="1412">
        <v>2</v>
      </c>
      <c r="H19" s="1412" t="s">
        <v>434</v>
      </c>
      <c r="I19" s="1412" t="s">
        <v>438</v>
      </c>
      <c r="J19" s="1412">
        <v>198</v>
      </c>
      <c r="K19" s="1412" t="s">
        <v>448</v>
      </c>
    </row>
    <row r="20" spans="1:11" x14ac:dyDescent="0.35">
      <c r="A20" s="1411"/>
      <c r="B20" s="1412">
        <v>16</v>
      </c>
      <c r="C20" s="1412" t="s">
        <v>15</v>
      </c>
      <c r="D20" s="1412">
        <v>83.1</v>
      </c>
      <c r="E20" s="1413">
        <f t="shared" si="0"/>
        <v>894.15599999999995</v>
      </c>
      <c r="F20" s="1412" t="s">
        <v>347</v>
      </c>
      <c r="G20" s="1412">
        <v>3</v>
      </c>
      <c r="H20" s="1412" t="s">
        <v>431</v>
      </c>
      <c r="I20" s="1412" t="s">
        <v>449</v>
      </c>
      <c r="J20" s="1412">
        <v>243</v>
      </c>
      <c r="K20" s="1412" t="s">
        <v>450</v>
      </c>
    </row>
    <row r="21" spans="1:11" x14ac:dyDescent="0.35">
      <c r="A21" s="1411"/>
      <c r="B21" s="1412">
        <v>17</v>
      </c>
      <c r="C21" s="1412" t="s">
        <v>15</v>
      </c>
      <c r="D21" s="1424">
        <v>83.1</v>
      </c>
      <c r="E21" s="1425">
        <f t="shared" ref="E21:E73" si="3">SUM(D21*10.7639)</f>
        <v>894.4800899999999</v>
      </c>
      <c r="F21" s="1412" t="s">
        <v>347</v>
      </c>
      <c r="G21" s="1412">
        <v>3</v>
      </c>
      <c r="H21" s="1412" t="s">
        <v>431</v>
      </c>
      <c r="I21" s="1409" t="s">
        <v>449</v>
      </c>
      <c r="J21" s="1409">
        <v>246</v>
      </c>
      <c r="K21" s="1412" t="s">
        <v>450</v>
      </c>
    </row>
    <row r="22" spans="1:11" x14ac:dyDescent="0.35">
      <c r="A22" s="1414"/>
      <c r="B22" s="1412">
        <v>18</v>
      </c>
      <c r="C22" s="1412" t="s">
        <v>51</v>
      </c>
      <c r="D22" s="1424">
        <v>65.599999999999994</v>
      </c>
      <c r="E22" s="1425">
        <f t="shared" si="3"/>
        <v>706.11183999999992</v>
      </c>
      <c r="F22" s="1412" t="s">
        <v>347</v>
      </c>
      <c r="G22" s="1412">
        <v>2</v>
      </c>
      <c r="H22" s="1412" t="s">
        <v>431</v>
      </c>
      <c r="I22" s="1412" t="s">
        <v>451</v>
      </c>
      <c r="J22" s="1409" t="s">
        <v>79</v>
      </c>
      <c r="K22" s="1409" t="s">
        <v>452</v>
      </c>
    </row>
    <row r="23" spans="1:11" x14ac:dyDescent="0.35">
      <c r="A23" s="1426" t="s">
        <v>343</v>
      </c>
      <c r="B23" s="1416">
        <v>19</v>
      </c>
      <c r="C23" s="1416" t="s">
        <v>51</v>
      </c>
      <c r="D23" s="1417">
        <v>83.7</v>
      </c>
      <c r="E23" s="1418">
        <f t="shared" si="3"/>
        <v>900.93843000000004</v>
      </c>
      <c r="F23" s="1416" t="s">
        <v>347</v>
      </c>
      <c r="G23" s="1416">
        <v>2</v>
      </c>
      <c r="H23" s="1416" t="s">
        <v>431</v>
      </c>
      <c r="I23" s="1416" t="s">
        <v>432</v>
      </c>
      <c r="J23" s="1416">
        <v>65</v>
      </c>
      <c r="K23" s="1422" t="s">
        <v>453</v>
      </c>
    </row>
    <row r="24" spans="1:11" x14ac:dyDescent="0.35">
      <c r="A24" s="1427"/>
      <c r="B24" s="1416">
        <v>20</v>
      </c>
      <c r="C24" s="1416" t="s">
        <v>51</v>
      </c>
      <c r="D24" s="1417">
        <v>59.6</v>
      </c>
      <c r="E24" s="1418">
        <f t="shared" si="3"/>
        <v>641.52844000000005</v>
      </c>
      <c r="F24" s="1416" t="s">
        <v>351</v>
      </c>
      <c r="G24" s="1416">
        <v>2</v>
      </c>
      <c r="H24" s="1416" t="s">
        <v>431</v>
      </c>
      <c r="I24" s="1416" t="s">
        <v>432</v>
      </c>
      <c r="J24" s="1416">
        <v>87</v>
      </c>
      <c r="K24" s="1422" t="s">
        <v>454</v>
      </c>
    </row>
    <row r="25" spans="1:11" x14ac:dyDescent="0.35">
      <c r="A25" s="1427"/>
      <c r="B25" s="1416">
        <v>21</v>
      </c>
      <c r="C25" s="1416" t="s">
        <v>15</v>
      </c>
      <c r="D25" s="1417">
        <v>83.6</v>
      </c>
      <c r="E25" s="1418">
        <f t="shared" si="3"/>
        <v>899.86203999999987</v>
      </c>
      <c r="F25" s="1416" t="s">
        <v>347</v>
      </c>
      <c r="G25" s="1416">
        <v>3</v>
      </c>
      <c r="H25" s="1416" t="s">
        <v>431</v>
      </c>
      <c r="I25" s="1416" t="s">
        <v>432</v>
      </c>
      <c r="J25" s="1416">
        <v>243</v>
      </c>
      <c r="K25" s="1416" t="s">
        <v>450</v>
      </c>
    </row>
    <row r="26" spans="1:11" x14ac:dyDescent="0.35">
      <c r="A26" s="1427"/>
      <c r="B26" s="1416">
        <v>22</v>
      </c>
      <c r="C26" s="1416" t="s">
        <v>15</v>
      </c>
      <c r="D26" s="1417">
        <v>83.6</v>
      </c>
      <c r="E26" s="1418">
        <f t="shared" si="3"/>
        <v>899.86203999999987</v>
      </c>
      <c r="F26" s="1416" t="s">
        <v>347</v>
      </c>
      <c r="G26" s="1416">
        <v>3</v>
      </c>
      <c r="H26" s="1416" t="s">
        <v>431</v>
      </c>
      <c r="I26" s="1416" t="s">
        <v>432</v>
      </c>
      <c r="J26" s="1422">
        <v>246</v>
      </c>
      <c r="K26" s="1416" t="s">
        <v>450</v>
      </c>
    </row>
    <row r="27" spans="1:11" x14ac:dyDescent="0.35">
      <c r="A27" s="1427"/>
      <c r="B27" s="1416">
        <v>23</v>
      </c>
      <c r="C27" s="1416" t="s">
        <v>15</v>
      </c>
      <c r="D27" s="1417">
        <v>87.2</v>
      </c>
      <c r="E27" s="1418">
        <f t="shared" si="3"/>
        <v>938.61207999999999</v>
      </c>
      <c r="F27" s="1416" t="s">
        <v>352</v>
      </c>
      <c r="G27" s="1416">
        <v>2</v>
      </c>
      <c r="H27" s="1416" t="s">
        <v>434</v>
      </c>
      <c r="I27" s="1416" t="s">
        <v>438</v>
      </c>
      <c r="J27" s="1416">
        <v>140</v>
      </c>
      <c r="K27" s="1416" t="s">
        <v>436</v>
      </c>
    </row>
    <row r="28" spans="1:11" ht="30" x14ac:dyDescent="0.35">
      <c r="A28" s="1427"/>
      <c r="B28" s="1416">
        <v>24</v>
      </c>
      <c r="C28" s="1416" t="s">
        <v>15</v>
      </c>
      <c r="D28" s="1420">
        <v>159</v>
      </c>
      <c r="E28" s="1421">
        <f t="shared" si="3"/>
        <v>1711.4601</v>
      </c>
      <c r="F28" s="1416" t="s">
        <v>353</v>
      </c>
      <c r="G28" s="1416">
        <v>3</v>
      </c>
      <c r="H28" s="1416" t="s">
        <v>434</v>
      </c>
      <c r="I28" s="1416" t="s">
        <v>441</v>
      </c>
      <c r="J28" s="1416">
        <v>686</v>
      </c>
      <c r="K28" s="1428" t="s">
        <v>455</v>
      </c>
    </row>
    <row r="29" spans="1:11" x14ac:dyDescent="0.35">
      <c r="A29" s="1429"/>
      <c r="B29" s="1416">
        <v>25</v>
      </c>
      <c r="C29" s="1416" t="s">
        <v>15</v>
      </c>
      <c r="D29" s="1417">
        <v>71.5</v>
      </c>
      <c r="E29" s="1418">
        <f t="shared" si="3"/>
        <v>769.61884999999995</v>
      </c>
      <c r="F29" s="1416" t="s">
        <v>347</v>
      </c>
      <c r="G29" s="1416">
        <v>2</v>
      </c>
      <c r="H29" s="1416" t="s">
        <v>431</v>
      </c>
      <c r="I29" s="1416" t="s">
        <v>451</v>
      </c>
      <c r="J29" s="1416" t="s">
        <v>79</v>
      </c>
      <c r="K29" s="1416" t="s">
        <v>436</v>
      </c>
    </row>
    <row r="30" spans="1:11" x14ac:dyDescent="0.35">
      <c r="A30" s="1430" t="s">
        <v>20</v>
      </c>
      <c r="B30" s="1431">
        <v>26</v>
      </c>
      <c r="C30" s="1431" t="s">
        <v>51</v>
      </c>
      <c r="D30" s="1432">
        <v>77.599999999999994</v>
      </c>
      <c r="E30" s="1433">
        <f t="shared" si="3"/>
        <v>835.27863999999988</v>
      </c>
      <c r="F30" s="1431" t="s">
        <v>347</v>
      </c>
      <c r="G30" s="1431">
        <v>2</v>
      </c>
      <c r="H30" s="1431" t="s">
        <v>431</v>
      </c>
      <c r="I30" s="1431" t="s">
        <v>432</v>
      </c>
      <c r="J30" s="1431">
        <v>89</v>
      </c>
      <c r="K30" s="1434" t="s">
        <v>456</v>
      </c>
    </row>
    <row r="31" spans="1:11" x14ac:dyDescent="0.35">
      <c r="A31" s="1435"/>
      <c r="B31" s="1431">
        <v>27</v>
      </c>
      <c r="C31" s="1431" t="s">
        <v>51</v>
      </c>
      <c r="D31" s="1432">
        <v>77.2</v>
      </c>
      <c r="E31" s="1433">
        <f t="shared" si="3"/>
        <v>830.97307999999998</v>
      </c>
      <c r="F31" s="1431" t="s">
        <v>347</v>
      </c>
      <c r="G31" s="1431">
        <v>2</v>
      </c>
      <c r="H31" s="1431" t="s">
        <v>431</v>
      </c>
      <c r="I31" s="1431" t="s">
        <v>432</v>
      </c>
      <c r="J31" s="1431">
        <v>89</v>
      </c>
      <c r="K31" s="1434" t="s">
        <v>433</v>
      </c>
    </row>
    <row r="32" spans="1:11" ht="30" x14ac:dyDescent="0.35">
      <c r="A32" s="1435"/>
      <c r="B32" s="1431">
        <v>28</v>
      </c>
      <c r="C32" s="1431" t="s">
        <v>15</v>
      </c>
      <c r="D32" s="1432">
        <v>97.1</v>
      </c>
      <c r="E32" s="1433">
        <f t="shared" si="3"/>
        <v>1045.1746899999998</v>
      </c>
      <c r="F32" s="1431" t="s">
        <v>352</v>
      </c>
      <c r="G32" s="1431">
        <v>2</v>
      </c>
      <c r="H32" s="1431" t="s">
        <v>431</v>
      </c>
      <c r="I32" s="1431" t="s">
        <v>451</v>
      </c>
      <c r="J32" s="1431" t="s">
        <v>79</v>
      </c>
      <c r="K32" s="1436" t="s">
        <v>457</v>
      </c>
    </row>
    <row r="33" spans="1:11" ht="30" x14ac:dyDescent="0.35">
      <c r="A33" s="1435"/>
      <c r="B33" s="1431">
        <v>29</v>
      </c>
      <c r="C33" s="1431" t="s">
        <v>15</v>
      </c>
      <c r="D33" s="1432">
        <v>94.7</v>
      </c>
      <c r="E33" s="1433">
        <f t="shared" si="3"/>
        <v>1019.34133</v>
      </c>
      <c r="F33" s="1431" t="s">
        <v>348</v>
      </c>
      <c r="G33" s="1431">
        <v>3</v>
      </c>
      <c r="H33" s="1431" t="s">
        <v>434</v>
      </c>
      <c r="I33" s="1431" t="s">
        <v>432</v>
      </c>
      <c r="J33" s="1431">
        <v>140</v>
      </c>
      <c r="K33" s="1436" t="s">
        <v>457</v>
      </c>
    </row>
    <row r="34" spans="1:11" ht="30" x14ac:dyDescent="0.35">
      <c r="A34" s="1435"/>
      <c r="B34" s="1431">
        <v>30</v>
      </c>
      <c r="C34" s="1431" t="s">
        <v>15</v>
      </c>
      <c r="D34" s="1432">
        <v>94.3</v>
      </c>
      <c r="E34" s="1433">
        <f t="shared" si="3"/>
        <v>1015.03577</v>
      </c>
      <c r="F34" s="1431" t="s">
        <v>348</v>
      </c>
      <c r="G34" s="1431">
        <v>3</v>
      </c>
      <c r="H34" s="1431" t="s">
        <v>434</v>
      </c>
      <c r="I34" s="1431" t="s">
        <v>432</v>
      </c>
      <c r="J34" s="1431">
        <v>144</v>
      </c>
      <c r="K34" s="1436" t="s">
        <v>457</v>
      </c>
    </row>
    <row r="35" spans="1:11" x14ac:dyDescent="0.35">
      <c r="A35" s="1435"/>
      <c r="B35" s="1431">
        <v>31</v>
      </c>
      <c r="C35" s="1431" t="s">
        <v>51</v>
      </c>
      <c r="D35" s="1432">
        <v>107.5</v>
      </c>
      <c r="E35" s="1433">
        <f t="shared" si="3"/>
        <v>1157.11925</v>
      </c>
      <c r="F35" s="1431" t="s">
        <v>352</v>
      </c>
      <c r="G35" s="1431">
        <v>3</v>
      </c>
      <c r="H35" s="1431" t="s">
        <v>431</v>
      </c>
      <c r="I35" s="1431" t="s">
        <v>458</v>
      </c>
      <c r="J35" s="1431">
        <v>76</v>
      </c>
      <c r="K35" s="1431" t="s">
        <v>459</v>
      </c>
    </row>
    <row r="36" spans="1:11" ht="30" x14ac:dyDescent="0.35">
      <c r="A36" s="1435"/>
      <c r="B36" s="1431">
        <v>32</v>
      </c>
      <c r="C36" s="1431" t="s">
        <v>15</v>
      </c>
      <c r="D36" s="1432">
        <v>91.7</v>
      </c>
      <c r="E36" s="1433">
        <f t="shared" si="3"/>
        <v>987.04962999999998</v>
      </c>
      <c r="F36" s="1431" t="s">
        <v>348</v>
      </c>
      <c r="G36" s="1431">
        <v>3</v>
      </c>
      <c r="H36" s="1431" t="s">
        <v>434</v>
      </c>
      <c r="I36" s="1431" t="s">
        <v>438</v>
      </c>
      <c r="J36" s="1431">
        <v>73</v>
      </c>
      <c r="K36" s="1436" t="s">
        <v>460</v>
      </c>
    </row>
    <row r="37" spans="1:11" ht="30" x14ac:dyDescent="0.35">
      <c r="A37" s="1435"/>
      <c r="B37" s="1431">
        <v>33</v>
      </c>
      <c r="C37" s="1431" t="s">
        <v>15</v>
      </c>
      <c r="D37" s="1432">
        <v>75.3</v>
      </c>
      <c r="E37" s="1433">
        <f t="shared" si="3"/>
        <v>810.52166999999997</v>
      </c>
      <c r="F37" s="1431" t="s">
        <v>347</v>
      </c>
      <c r="G37" s="1431">
        <v>3</v>
      </c>
      <c r="H37" s="1431" t="s">
        <v>431</v>
      </c>
      <c r="I37" s="1431" t="s">
        <v>438</v>
      </c>
      <c r="J37" s="1431">
        <v>97</v>
      </c>
      <c r="K37" s="1436" t="s">
        <v>460</v>
      </c>
    </row>
    <row r="38" spans="1:11" ht="30" x14ac:dyDescent="0.35">
      <c r="A38" s="1435"/>
      <c r="B38" s="1431">
        <v>34</v>
      </c>
      <c r="C38" s="1431" t="s">
        <v>15</v>
      </c>
      <c r="D38" s="1432">
        <v>75.3</v>
      </c>
      <c r="E38" s="1433">
        <f t="shared" si="3"/>
        <v>810.52166999999997</v>
      </c>
      <c r="F38" s="1431" t="s">
        <v>347</v>
      </c>
      <c r="G38" s="1431">
        <v>3</v>
      </c>
      <c r="H38" s="1431" t="s">
        <v>431</v>
      </c>
      <c r="I38" s="1431" t="s">
        <v>435</v>
      </c>
      <c r="J38" s="1431">
        <v>70</v>
      </c>
      <c r="K38" s="1436" t="s">
        <v>460</v>
      </c>
    </row>
    <row r="39" spans="1:11" ht="30" x14ac:dyDescent="0.35">
      <c r="A39" s="1435"/>
      <c r="B39" s="1431">
        <v>35</v>
      </c>
      <c r="C39" s="1431" t="s">
        <v>15</v>
      </c>
      <c r="D39" s="1432">
        <v>128.5</v>
      </c>
      <c r="E39" s="1433">
        <f t="shared" si="3"/>
        <v>1383.1611499999999</v>
      </c>
      <c r="F39" s="1431" t="s">
        <v>354</v>
      </c>
      <c r="G39" s="1431">
        <v>4</v>
      </c>
      <c r="H39" s="1431" t="s">
        <v>434</v>
      </c>
      <c r="I39" s="1431" t="s">
        <v>438</v>
      </c>
      <c r="J39" s="1431">
        <v>130</v>
      </c>
      <c r="K39" s="1436" t="s">
        <v>461</v>
      </c>
    </row>
    <row r="40" spans="1:11" ht="30" x14ac:dyDescent="0.35">
      <c r="A40" s="1435"/>
      <c r="B40" s="1431">
        <v>36</v>
      </c>
      <c r="C40" s="1431" t="s">
        <v>15</v>
      </c>
      <c r="D40" s="1432">
        <v>102.5</v>
      </c>
      <c r="E40" s="1433">
        <f t="shared" si="3"/>
        <v>1103.2997499999999</v>
      </c>
      <c r="F40" s="1431" t="s">
        <v>348</v>
      </c>
      <c r="G40" s="1431">
        <v>3</v>
      </c>
      <c r="H40" s="1431" t="s">
        <v>434</v>
      </c>
      <c r="I40" s="1431" t="s">
        <v>462</v>
      </c>
      <c r="J40" s="1431" t="s">
        <v>79</v>
      </c>
      <c r="K40" s="1436" t="s">
        <v>463</v>
      </c>
    </row>
    <row r="41" spans="1:11" ht="30" x14ac:dyDescent="0.35">
      <c r="A41" s="1435"/>
      <c r="B41" s="1431">
        <v>37</v>
      </c>
      <c r="C41" s="1431" t="s">
        <v>15</v>
      </c>
      <c r="D41" s="1437">
        <v>116.7</v>
      </c>
      <c r="E41" s="1438">
        <f t="shared" si="3"/>
        <v>1256.1471300000001</v>
      </c>
      <c r="F41" s="1431" t="s">
        <v>348</v>
      </c>
      <c r="G41" s="1431">
        <v>3</v>
      </c>
      <c r="H41" s="1431" t="s">
        <v>434</v>
      </c>
      <c r="I41" s="1431" t="s">
        <v>464</v>
      </c>
      <c r="J41" s="1431">
        <v>50</v>
      </c>
      <c r="K41" s="1436" t="s">
        <v>465</v>
      </c>
    </row>
    <row r="42" spans="1:11" x14ac:dyDescent="0.35">
      <c r="A42" s="1435"/>
      <c r="B42" s="1431">
        <v>38</v>
      </c>
      <c r="C42" s="1431" t="s">
        <v>346</v>
      </c>
      <c r="D42" s="1432">
        <v>39</v>
      </c>
      <c r="E42" s="1433">
        <f t="shared" si="3"/>
        <v>419.7921</v>
      </c>
      <c r="F42" s="1431" t="s">
        <v>351</v>
      </c>
      <c r="G42" s="1431">
        <v>1</v>
      </c>
      <c r="H42" s="1431" t="s">
        <v>431</v>
      </c>
      <c r="I42" s="1431" t="s">
        <v>435</v>
      </c>
      <c r="J42" s="1431">
        <v>169</v>
      </c>
      <c r="K42" s="1436" t="s">
        <v>466</v>
      </c>
    </row>
    <row r="43" spans="1:11" x14ac:dyDescent="0.35">
      <c r="A43" s="1435"/>
      <c r="B43" s="1431">
        <v>39</v>
      </c>
      <c r="C43" s="1431" t="s">
        <v>51</v>
      </c>
      <c r="D43" s="1432">
        <v>76.8</v>
      </c>
      <c r="E43" s="1433">
        <f t="shared" si="3"/>
        <v>826.66751999999997</v>
      </c>
      <c r="F43" s="1431" t="s">
        <v>348</v>
      </c>
      <c r="G43" s="1431">
        <v>2</v>
      </c>
      <c r="H43" s="1431" t="s">
        <v>431</v>
      </c>
      <c r="I43" s="1431" t="s">
        <v>432</v>
      </c>
      <c r="J43" s="1431">
        <v>126</v>
      </c>
      <c r="K43" s="1431" t="s">
        <v>446</v>
      </c>
    </row>
    <row r="44" spans="1:11" x14ac:dyDescent="0.35">
      <c r="A44" s="1435"/>
      <c r="B44" s="1431">
        <v>40</v>
      </c>
      <c r="C44" s="1431" t="s">
        <v>15</v>
      </c>
      <c r="D44" s="1432">
        <v>93.9</v>
      </c>
      <c r="E44" s="1433">
        <f t="shared" si="3"/>
        <v>1010.7302100000001</v>
      </c>
      <c r="F44" s="1431" t="s">
        <v>352</v>
      </c>
      <c r="G44" s="1431">
        <v>3</v>
      </c>
      <c r="H44" s="1431" t="s">
        <v>431</v>
      </c>
      <c r="I44" s="1431" t="s">
        <v>432</v>
      </c>
      <c r="J44" s="1431">
        <v>82</v>
      </c>
      <c r="K44" s="1431" t="s">
        <v>467</v>
      </c>
    </row>
    <row r="45" spans="1:11" x14ac:dyDescent="0.35">
      <c r="A45" s="1435"/>
      <c r="B45" s="1431">
        <v>41</v>
      </c>
      <c r="C45" s="1431" t="s">
        <v>51</v>
      </c>
      <c r="D45" s="1432">
        <v>84.1</v>
      </c>
      <c r="E45" s="1433">
        <f t="shared" si="3"/>
        <v>905.24398999999994</v>
      </c>
      <c r="F45" s="1431" t="s">
        <v>347</v>
      </c>
      <c r="G45" s="1431">
        <v>2</v>
      </c>
      <c r="H45" s="1431" t="s">
        <v>431</v>
      </c>
      <c r="I45" s="1431" t="s">
        <v>432</v>
      </c>
      <c r="J45" s="1431">
        <v>70</v>
      </c>
      <c r="K45" s="1436" t="s">
        <v>466</v>
      </c>
    </row>
    <row r="46" spans="1:11" x14ac:dyDescent="0.35">
      <c r="A46" s="1439"/>
      <c r="B46" s="1431">
        <v>42</v>
      </c>
      <c r="C46" s="1431" t="s">
        <v>51</v>
      </c>
      <c r="D46" s="1432">
        <v>111.6</v>
      </c>
      <c r="E46" s="1433">
        <f t="shared" si="3"/>
        <v>1201.2512399999998</v>
      </c>
      <c r="F46" s="1431" t="s">
        <v>349</v>
      </c>
      <c r="G46" s="1431">
        <v>2</v>
      </c>
      <c r="H46" s="1431" t="s">
        <v>431</v>
      </c>
      <c r="I46" s="1431" t="s">
        <v>451</v>
      </c>
      <c r="J46" s="1431" t="s">
        <v>79</v>
      </c>
      <c r="K46" s="1431" t="s">
        <v>468</v>
      </c>
    </row>
    <row r="47" spans="1:11" x14ac:dyDescent="0.35">
      <c r="A47" s="1440" t="s">
        <v>23</v>
      </c>
      <c r="B47" s="1441">
        <v>43</v>
      </c>
      <c r="C47" s="1441" t="s">
        <v>346</v>
      </c>
      <c r="D47" s="1442">
        <v>46.9</v>
      </c>
      <c r="E47" s="1443">
        <f t="shared" si="3"/>
        <v>504.82690999999994</v>
      </c>
      <c r="F47" s="1441" t="s">
        <v>351</v>
      </c>
      <c r="G47" s="1441">
        <v>1</v>
      </c>
      <c r="H47" s="1441" t="s">
        <v>431</v>
      </c>
      <c r="I47" s="1441" t="s">
        <v>469</v>
      </c>
      <c r="J47" s="1441" t="s">
        <v>79</v>
      </c>
      <c r="K47" s="1444" t="s">
        <v>456</v>
      </c>
    </row>
    <row r="48" spans="1:11" x14ac:dyDescent="0.35">
      <c r="A48" s="1445"/>
      <c r="B48" s="1441">
        <v>44</v>
      </c>
      <c r="C48" s="1441" t="s">
        <v>51</v>
      </c>
      <c r="D48" s="1442">
        <v>107.6</v>
      </c>
      <c r="E48" s="1443">
        <f t="shared" si="3"/>
        <v>1158.1956399999999</v>
      </c>
      <c r="F48" s="1441" t="s">
        <v>352</v>
      </c>
      <c r="G48" s="1441">
        <v>2</v>
      </c>
      <c r="H48" s="1441" t="s">
        <v>431</v>
      </c>
      <c r="I48" s="1441" t="s">
        <v>469</v>
      </c>
      <c r="J48" s="1441" t="s">
        <v>79</v>
      </c>
      <c r="K48" s="1441" t="s">
        <v>456</v>
      </c>
    </row>
    <row r="49" spans="1:11" x14ac:dyDescent="0.35">
      <c r="A49" s="1445"/>
      <c r="B49" s="1441">
        <v>45</v>
      </c>
      <c r="C49" s="1441" t="s">
        <v>346</v>
      </c>
      <c r="D49" s="1442">
        <v>38.5</v>
      </c>
      <c r="E49" s="1443">
        <f t="shared" si="3"/>
        <v>414.41014999999999</v>
      </c>
      <c r="F49" s="1441" t="s">
        <v>351</v>
      </c>
      <c r="G49" s="1441">
        <v>1</v>
      </c>
      <c r="H49" s="1441" t="s">
        <v>431</v>
      </c>
      <c r="I49" s="1441" t="s">
        <v>469</v>
      </c>
      <c r="J49" s="1441" t="s">
        <v>79</v>
      </c>
      <c r="K49" s="1444" t="s">
        <v>470</v>
      </c>
    </row>
    <row r="50" spans="1:11" x14ac:dyDescent="0.35">
      <c r="A50" s="1445"/>
      <c r="B50" s="1441">
        <v>46</v>
      </c>
      <c r="C50" s="1441" t="s">
        <v>51</v>
      </c>
      <c r="D50" s="1442">
        <v>75.3</v>
      </c>
      <c r="E50" s="1443">
        <f>SUM(D50*10.7639)</f>
        <v>810.52166999999997</v>
      </c>
      <c r="F50" s="1441" t="s">
        <v>347</v>
      </c>
      <c r="G50" s="1441">
        <v>2</v>
      </c>
      <c r="H50" s="1441" t="s">
        <v>431</v>
      </c>
      <c r="I50" s="1441" t="s">
        <v>469</v>
      </c>
      <c r="J50" s="1441" t="s">
        <v>79</v>
      </c>
      <c r="K50" s="1444" t="s">
        <v>452</v>
      </c>
    </row>
    <row r="51" spans="1:11" x14ac:dyDescent="0.35">
      <c r="A51" s="1445"/>
      <c r="B51" s="1441">
        <v>47</v>
      </c>
      <c r="C51" s="1441" t="s">
        <v>51</v>
      </c>
      <c r="D51" s="1442">
        <v>94.3</v>
      </c>
      <c r="E51" s="1443">
        <f t="shared" si="3"/>
        <v>1015.03577</v>
      </c>
      <c r="F51" s="1441" t="s">
        <v>352</v>
      </c>
      <c r="G51" s="1441">
        <v>2</v>
      </c>
      <c r="H51" s="1441" t="s">
        <v>431</v>
      </c>
      <c r="I51" s="1441" t="s">
        <v>469</v>
      </c>
      <c r="J51" s="1441" t="s">
        <v>79</v>
      </c>
      <c r="K51" s="1444" t="s">
        <v>471</v>
      </c>
    </row>
    <row r="52" spans="1:11" x14ac:dyDescent="0.35">
      <c r="A52" s="1445"/>
      <c r="B52" s="1441">
        <v>48</v>
      </c>
      <c r="C52" s="1441" t="s">
        <v>15</v>
      </c>
      <c r="D52" s="1442">
        <v>107.5</v>
      </c>
      <c r="E52" s="1443">
        <f t="shared" si="3"/>
        <v>1157.11925</v>
      </c>
      <c r="F52" s="1441" t="s">
        <v>349</v>
      </c>
      <c r="G52" s="1441">
        <v>3</v>
      </c>
      <c r="H52" s="1441" t="s">
        <v>434</v>
      </c>
      <c r="I52" s="1441" t="s">
        <v>472</v>
      </c>
      <c r="J52" s="1441">
        <v>277</v>
      </c>
      <c r="K52" s="1446" t="s">
        <v>473</v>
      </c>
    </row>
    <row r="53" spans="1:11" x14ac:dyDescent="0.35">
      <c r="A53" s="1445"/>
      <c r="B53" s="1441">
        <v>49</v>
      </c>
      <c r="C53" s="1441" t="s">
        <v>15</v>
      </c>
      <c r="D53" s="1442">
        <v>105.1</v>
      </c>
      <c r="E53" s="1443">
        <f t="shared" si="3"/>
        <v>1131.2858899999999</v>
      </c>
      <c r="F53" s="1441" t="s">
        <v>348</v>
      </c>
      <c r="G53" s="1441">
        <v>3</v>
      </c>
      <c r="H53" s="1441" t="s">
        <v>434</v>
      </c>
      <c r="I53" s="1441" t="s">
        <v>472</v>
      </c>
      <c r="J53" s="1441">
        <v>186</v>
      </c>
      <c r="K53" s="1446" t="s">
        <v>474</v>
      </c>
    </row>
    <row r="54" spans="1:11" x14ac:dyDescent="0.35">
      <c r="A54" s="1445"/>
      <c r="B54" s="1441">
        <v>50</v>
      </c>
      <c r="C54" s="1441" t="s">
        <v>15</v>
      </c>
      <c r="D54" s="1442">
        <v>129</v>
      </c>
      <c r="E54" s="1443">
        <f t="shared" si="3"/>
        <v>1388.5430999999999</v>
      </c>
      <c r="F54" s="1441" t="s">
        <v>353</v>
      </c>
      <c r="G54" s="1441">
        <v>3</v>
      </c>
      <c r="H54" s="1441" t="s">
        <v>434</v>
      </c>
      <c r="I54" s="1441" t="s">
        <v>472</v>
      </c>
      <c r="J54" s="1441">
        <v>75</v>
      </c>
      <c r="K54" s="1446" t="s">
        <v>475</v>
      </c>
    </row>
    <row r="55" spans="1:11" x14ac:dyDescent="0.35">
      <c r="A55" s="1445"/>
      <c r="B55" s="1441">
        <v>51</v>
      </c>
      <c r="C55" s="1441" t="s">
        <v>15</v>
      </c>
      <c r="D55" s="1442">
        <v>101.3</v>
      </c>
      <c r="E55" s="1443">
        <f t="shared" si="3"/>
        <v>1090.3830699999999</v>
      </c>
      <c r="F55" s="1441" t="s">
        <v>352</v>
      </c>
      <c r="G55" s="1441">
        <v>3</v>
      </c>
      <c r="H55" s="1441" t="s">
        <v>431</v>
      </c>
      <c r="I55" s="1441" t="s">
        <v>476</v>
      </c>
      <c r="J55" s="1441" t="s">
        <v>79</v>
      </c>
      <c r="K55" s="1446" t="s">
        <v>477</v>
      </c>
    </row>
    <row r="56" spans="1:11" x14ac:dyDescent="0.35">
      <c r="A56" s="1445"/>
      <c r="B56" s="1441">
        <v>52</v>
      </c>
      <c r="C56" s="1441" t="s">
        <v>15</v>
      </c>
      <c r="D56" s="1442">
        <v>84.8</v>
      </c>
      <c r="E56" s="1443">
        <f t="shared" si="3"/>
        <v>912.77871999999991</v>
      </c>
      <c r="F56" s="1441" t="s">
        <v>349</v>
      </c>
      <c r="G56" s="1441">
        <v>2</v>
      </c>
      <c r="H56" s="1441" t="s">
        <v>434</v>
      </c>
      <c r="I56" s="1441" t="s">
        <v>478</v>
      </c>
      <c r="J56" s="1441">
        <v>147</v>
      </c>
      <c r="K56" s="1441" t="s">
        <v>479</v>
      </c>
    </row>
    <row r="57" spans="1:11" x14ac:dyDescent="0.35">
      <c r="A57" s="1445"/>
      <c r="B57" s="1441">
        <v>53</v>
      </c>
      <c r="C57" s="1441" t="s">
        <v>15</v>
      </c>
      <c r="D57" s="1442">
        <v>127.7</v>
      </c>
      <c r="E57" s="1443">
        <f t="shared" si="3"/>
        <v>1374.5500299999999</v>
      </c>
      <c r="F57" s="1441" t="s">
        <v>350</v>
      </c>
      <c r="G57" s="1441">
        <v>3</v>
      </c>
      <c r="H57" s="1441" t="s">
        <v>480</v>
      </c>
      <c r="I57" s="1441" t="s">
        <v>478</v>
      </c>
      <c r="J57" s="1441">
        <v>257</v>
      </c>
      <c r="K57" s="1441" t="s">
        <v>481</v>
      </c>
    </row>
    <row r="58" spans="1:11" x14ac:dyDescent="0.35">
      <c r="A58" s="1445"/>
      <c r="B58" s="1441">
        <v>54</v>
      </c>
      <c r="C58" s="1441" t="s">
        <v>15</v>
      </c>
      <c r="D58" s="1442">
        <v>109.2</v>
      </c>
      <c r="E58" s="1443">
        <f t="shared" si="3"/>
        <v>1175.41788</v>
      </c>
      <c r="F58" s="1441" t="s">
        <v>354</v>
      </c>
      <c r="G58" s="1441">
        <v>3</v>
      </c>
      <c r="H58" s="1441" t="s">
        <v>480</v>
      </c>
      <c r="I58" s="1441" t="s">
        <v>478</v>
      </c>
      <c r="J58" s="1441">
        <v>551</v>
      </c>
      <c r="K58" s="1441" t="s">
        <v>481</v>
      </c>
    </row>
    <row r="59" spans="1:11" x14ac:dyDescent="0.35">
      <c r="A59" s="1445"/>
      <c r="B59" s="1441">
        <v>55</v>
      </c>
      <c r="C59" s="1441" t="s">
        <v>15</v>
      </c>
      <c r="D59" s="1442">
        <v>100.8</v>
      </c>
      <c r="E59" s="1443">
        <f t="shared" si="3"/>
        <v>1085.0011199999999</v>
      </c>
      <c r="F59" s="1441" t="s">
        <v>352</v>
      </c>
      <c r="G59" s="1441">
        <v>3</v>
      </c>
      <c r="H59" s="1441" t="s">
        <v>431</v>
      </c>
      <c r="I59" s="1441" t="s">
        <v>472</v>
      </c>
      <c r="J59" s="1441">
        <v>284</v>
      </c>
      <c r="K59" s="1441" t="s">
        <v>482</v>
      </c>
    </row>
    <row r="60" spans="1:11" x14ac:dyDescent="0.35">
      <c r="A60" s="1445"/>
      <c r="B60" s="1441">
        <v>56</v>
      </c>
      <c r="C60" s="1441" t="s">
        <v>15</v>
      </c>
      <c r="D60" s="1442">
        <v>97.1</v>
      </c>
      <c r="E60" s="1443">
        <f t="shared" si="3"/>
        <v>1045.1746899999998</v>
      </c>
      <c r="F60" s="1441" t="s">
        <v>348</v>
      </c>
      <c r="G60" s="1441">
        <v>3</v>
      </c>
      <c r="H60" s="1441" t="s">
        <v>431</v>
      </c>
      <c r="I60" s="1441" t="s">
        <v>472</v>
      </c>
      <c r="J60" s="1441">
        <v>304</v>
      </c>
      <c r="K60" s="1441" t="s">
        <v>483</v>
      </c>
    </row>
    <row r="61" spans="1:11" x14ac:dyDescent="0.35">
      <c r="A61" s="1445"/>
      <c r="B61" s="1441">
        <v>57</v>
      </c>
      <c r="C61" s="1441" t="s">
        <v>15</v>
      </c>
      <c r="D61" s="1442">
        <v>97.1</v>
      </c>
      <c r="E61" s="1443">
        <f t="shared" si="3"/>
        <v>1045.1746899999998</v>
      </c>
      <c r="F61" s="1441" t="s">
        <v>348</v>
      </c>
      <c r="G61" s="1441">
        <v>3</v>
      </c>
      <c r="H61" s="1441" t="s">
        <v>431</v>
      </c>
      <c r="I61" s="1441" t="s">
        <v>472</v>
      </c>
      <c r="J61" s="1441">
        <v>79</v>
      </c>
      <c r="K61" s="1441" t="s">
        <v>483</v>
      </c>
    </row>
    <row r="62" spans="1:11" ht="30" x14ac:dyDescent="0.35">
      <c r="A62" s="1445"/>
      <c r="B62" s="1441">
        <v>58</v>
      </c>
      <c r="C62" s="1441" t="s">
        <v>51</v>
      </c>
      <c r="D62" s="1442">
        <v>105.6</v>
      </c>
      <c r="E62" s="1443">
        <f t="shared" si="3"/>
        <v>1136.6678399999998</v>
      </c>
      <c r="F62" s="1441" t="s">
        <v>352</v>
      </c>
      <c r="G62" s="1441">
        <v>2</v>
      </c>
      <c r="H62" s="1441" t="s">
        <v>431</v>
      </c>
      <c r="I62" s="1441" t="s">
        <v>469</v>
      </c>
      <c r="J62" s="1441" t="s">
        <v>79</v>
      </c>
      <c r="K62" s="1446" t="s">
        <v>484</v>
      </c>
    </row>
    <row r="63" spans="1:11" ht="30" x14ac:dyDescent="0.35">
      <c r="A63" s="1445"/>
      <c r="B63" s="1441">
        <v>59</v>
      </c>
      <c r="C63" s="1441" t="s">
        <v>51</v>
      </c>
      <c r="D63" s="1442">
        <v>96</v>
      </c>
      <c r="E63" s="1443">
        <f t="shared" si="3"/>
        <v>1033.3344</v>
      </c>
      <c r="F63" s="1441" t="s">
        <v>352</v>
      </c>
      <c r="G63" s="1441">
        <v>2</v>
      </c>
      <c r="H63" s="1441" t="s">
        <v>431</v>
      </c>
      <c r="I63" s="1441" t="s">
        <v>469</v>
      </c>
      <c r="J63" s="1441" t="s">
        <v>79</v>
      </c>
      <c r="K63" s="1446" t="s">
        <v>485</v>
      </c>
    </row>
    <row r="64" spans="1:11" x14ac:dyDescent="0.35">
      <c r="A64" s="1445"/>
      <c r="B64" s="1441">
        <v>60</v>
      </c>
      <c r="C64" s="1441" t="s">
        <v>15</v>
      </c>
      <c r="D64" s="1442">
        <v>106</v>
      </c>
      <c r="E64" s="1443">
        <f t="shared" si="3"/>
        <v>1140.9733999999999</v>
      </c>
      <c r="F64" s="1441" t="s">
        <v>349</v>
      </c>
      <c r="G64" s="1441">
        <v>4</v>
      </c>
      <c r="H64" s="1441" t="s">
        <v>431</v>
      </c>
      <c r="I64" s="1441" t="s">
        <v>486</v>
      </c>
      <c r="J64" s="1441">
        <v>123</v>
      </c>
      <c r="K64" s="1441" t="s">
        <v>487</v>
      </c>
    </row>
    <row r="65" spans="1:11" x14ac:dyDescent="0.35">
      <c r="A65" s="1445"/>
      <c r="B65" s="1441">
        <v>61</v>
      </c>
      <c r="C65" s="1441" t="s">
        <v>51</v>
      </c>
      <c r="D65" s="1442">
        <v>96.7</v>
      </c>
      <c r="E65" s="1443">
        <f t="shared" si="3"/>
        <v>1040.86913</v>
      </c>
      <c r="F65" s="1441" t="s">
        <v>348</v>
      </c>
      <c r="G65" s="1441">
        <v>2</v>
      </c>
      <c r="H65" s="1441" t="s">
        <v>480</v>
      </c>
      <c r="I65" s="1441" t="s">
        <v>469</v>
      </c>
      <c r="J65" s="1441" t="s">
        <v>79</v>
      </c>
      <c r="K65" s="1441" t="s">
        <v>488</v>
      </c>
    </row>
    <row r="66" spans="1:11" ht="30" x14ac:dyDescent="0.35">
      <c r="A66" s="1445"/>
      <c r="B66" s="1441">
        <v>62</v>
      </c>
      <c r="C66" s="1441" t="s">
        <v>51</v>
      </c>
      <c r="D66" s="1442">
        <v>104.8</v>
      </c>
      <c r="E66" s="1443">
        <f t="shared" si="3"/>
        <v>1128.0567199999998</v>
      </c>
      <c r="F66" s="1441" t="s">
        <v>348</v>
      </c>
      <c r="G66" s="1441">
        <v>2</v>
      </c>
      <c r="H66" s="1441" t="s">
        <v>480</v>
      </c>
      <c r="I66" s="1441" t="s">
        <v>469</v>
      </c>
      <c r="J66" s="1441" t="s">
        <v>79</v>
      </c>
      <c r="K66" s="1446" t="s">
        <v>489</v>
      </c>
    </row>
    <row r="67" spans="1:11" x14ac:dyDescent="0.35">
      <c r="A67" s="1445"/>
      <c r="B67" s="1441">
        <v>63</v>
      </c>
      <c r="C67" s="1441" t="s">
        <v>15</v>
      </c>
      <c r="D67" s="1447">
        <v>86</v>
      </c>
      <c r="E67" s="1448">
        <f t="shared" si="3"/>
        <v>925.69539999999995</v>
      </c>
      <c r="F67" s="1441" t="s">
        <v>349</v>
      </c>
      <c r="G67" s="1441">
        <v>4</v>
      </c>
      <c r="H67" s="1441" t="s">
        <v>431</v>
      </c>
      <c r="I67" s="1441" t="s">
        <v>490</v>
      </c>
      <c r="J67" s="1441">
        <v>81</v>
      </c>
      <c r="K67" s="1441" t="s">
        <v>487</v>
      </c>
    </row>
    <row r="68" spans="1:11" x14ac:dyDescent="0.35">
      <c r="A68" s="1445"/>
      <c r="B68" s="1441">
        <v>64</v>
      </c>
      <c r="C68" s="1441" t="s">
        <v>15</v>
      </c>
      <c r="D68" s="1442">
        <v>97.1</v>
      </c>
      <c r="E68" s="1443">
        <f t="shared" si="3"/>
        <v>1045.1746899999998</v>
      </c>
      <c r="F68" s="1441" t="s">
        <v>348</v>
      </c>
      <c r="G68" s="1441">
        <v>3</v>
      </c>
      <c r="H68" s="1441" t="s">
        <v>480</v>
      </c>
      <c r="I68" s="1441" t="s">
        <v>472</v>
      </c>
      <c r="J68" s="1441">
        <v>79</v>
      </c>
      <c r="K68" s="1441" t="s">
        <v>491</v>
      </c>
    </row>
    <row r="69" spans="1:11" x14ac:dyDescent="0.35">
      <c r="A69" s="1445"/>
      <c r="B69" s="1441">
        <v>65</v>
      </c>
      <c r="C69" s="1441" t="s">
        <v>15</v>
      </c>
      <c r="D69" s="1442">
        <v>97.1</v>
      </c>
      <c r="E69" s="1443">
        <f t="shared" si="3"/>
        <v>1045.1746899999998</v>
      </c>
      <c r="F69" s="1441" t="s">
        <v>348</v>
      </c>
      <c r="G69" s="1441">
        <v>3</v>
      </c>
      <c r="H69" s="1441" t="s">
        <v>480</v>
      </c>
      <c r="I69" s="1441" t="s">
        <v>472</v>
      </c>
      <c r="J69" s="1441">
        <v>231</v>
      </c>
      <c r="K69" s="1441" t="s">
        <v>491</v>
      </c>
    </row>
    <row r="70" spans="1:11" x14ac:dyDescent="0.35">
      <c r="A70" s="1445"/>
      <c r="B70" s="1441">
        <v>66</v>
      </c>
      <c r="C70" s="1441" t="s">
        <v>15</v>
      </c>
      <c r="D70" s="1442">
        <v>130</v>
      </c>
      <c r="E70" s="1443">
        <f t="shared" si="3"/>
        <v>1399.307</v>
      </c>
      <c r="F70" s="1441" t="s">
        <v>350</v>
      </c>
      <c r="G70" s="1441">
        <v>3</v>
      </c>
      <c r="H70" s="1441" t="s">
        <v>480</v>
      </c>
      <c r="I70" s="1441" t="s">
        <v>492</v>
      </c>
      <c r="J70" s="1441">
        <v>350</v>
      </c>
      <c r="K70" s="1446" t="s">
        <v>493</v>
      </c>
    </row>
    <row r="71" spans="1:11" x14ac:dyDescent="0.35">
      <c r="A71" s="1445"/>
      <c r="B71" s="1441">
        <v>67</v>
      </c>
      <c r="C71" s="1441" t="s">
        <v>15</v>
      </c>
      <c r="D71" s="1442">
        <v>84.2</v>
      </c>
      <c r="E71" s="1443">
        <f t="shared" si="3"/>
        <v>906.32038</v>
      </c>
      <c r="F71" s="1441" t="s">
        <v>352</v>
      </c>
      <c r="G71" s="1441">
        <v>2</v>
      </c>
      <c r="H71" s="1441" t="s">
        <v>431</v>
      </c>
      <c r="I71" s="1441" t="s">
        <v>478</v>
      </c>
      <c r="J71" s="1441">
        <v>128</v>
      </c>
      <c r="K71" s="1441" t="s">
        <v>494</v>
      </c>
    </row>
    <row r="72" spans="1:11" x14ac:dyDescent="0.35">
      <c r="A72" s="1445"/>
      <c r="B72" s="1441">
        <v>68</v>
      </c>
      <c r="C72" s="1441" t="s">
        <v>15</v>
      </c>
      <c r="D72" s="1447">
        <v>92.4</v>
      </c>
      <c r="E72" s="1448">
        <f t="shared" si="3"/>
        <v>994.58436000000006</v>
      </c>
      <c r="F72" s="1441" t="s">
        <v>348</v>
      </c>
      <c r="G72" s="1441">
        <v>3</v>
      </c>
      <c r="H72" s="1441" t="s">
        <v>431</v>
      </c>
      <c r="I72" s="1441" t="s">
        <v>495</v>
      </c>
      <c r="J72" s="1441">
        <v>381</v>
      </c>
      <c r="K72" s="1441" t="s">
        <v>496</v>
      </c>
    </row>
    <row r="73" spans="1:11" x14ac:dyDescent="0.35">
      <c r="A73" s="1445"/>
      <c r="B73" s="1441">
        <v>69</v>
      </c>
      <c r="C73" s="1441" t="s">
        <v>15</v>
      </c>
      <c r="D73" s="1447">
        <v>92.4</v>
      </c>
      <c r="E73" s="1448">
        <f t="shared" si="3"/>
        <v>994.58436000000006</v>
      </c>
      <c r="F73" s="1441" t="s">
        <v>348</v>
      </c>
      <c r="G73" s="1441">
        <v>3</v>
      </c>
      <c r="H73" s="1441" t="s">
        <v>480</v>
      </c>
      <c r="I73" s="1441" t="s">
        <v>495</v>
      </c>
      <c r="J73" s="1441">
        <v>381</v>
      </c>
      <c r="K73" s="1441" t="s">
        <v>496</v>
      </c>
    </row>
    <row r="74" spans="1:11" ht="30" x14ac:dyDescent="0.35">
      <c r="A74" s="1445"/>
      <c r="B74" s="1441">
        <v>70</v>
      </c>
      <c r="C74" s="1441" t="s">
        <v>15</v>
      </c>
      <c r="D74" s="1447">
        <v>94.6</v>
      </c>
      <c r="E74" s="1448">
        <f>SUM(D74*10.7639)</f>
        <v>1018.2649399999999</v>
      </c>
      <c r="F74" s="1441" t="s">
        <v>352</v>
      </c>
      <c r="G74" s="1441">
        <v>3</v>
      </c>
      <c r="H74" s="1441" t="s">
        <v>480</v>
      </c>
      <c r="I74" s="1446" t="s">
        <v>497</v>
      </c>
      <c r="J74" s="1441">
        <v>485</v>
      </c>
      <c r="K74" s="1441" t="s">
        <v>498</v>
      </c>
    </row>
    <row r="75" spans="1:11" x14ac:dyDescent="0.35">
      <c r="A75" s="1445"/>
      <c r="B75" s="1441">
        <v>71</v>
      </c>
      <c r="C75" s="1441" t="s">
        <v>15</v>
      </c>
      <c r="D75" s="1442">
        <v>113.8</v>
      </c>
      <c r="E75" s="1443">
        <f t="shared" ref="E75:E82" si="4">SUM(D75*10.7639)</f>
        <v>1224.93182</v>
      </c>
      <c r="F75" s="1441" t="s">
        <v>352</v>
      </c>
      <c r="G75" s="1441">
        <v>3</v>
      </c>
      <c r="H75" s="1441" t="s">
        <v>480</v>
      </c>
      <c r="I75" s="1441" t="s">
        <v>469</v>
      </c>
      <c r="J75" s="1441" t="s">
        <v>79</v>
      </c>
      <c r="K75" s="1441" t="s">
        <v>482</v>
      </c>
    </row>
    <row r="76" spans="1:11" x14ac:dyDescent="0.35">
      <c r="A76" s="1445"/>
      <c r="B76" s="1441">
        <v>72</v>
      </c>
      <c r="C76" s="1441" t="s">
        <v>15</v>
      </c>
      <c r="D76" s="1442">
        <v>130</v>
      </c>
      <c r="E76" s="1443">
        <f t="shared" si="4"/>
        <v>1399.307</v>
      </c>
      <c r="F76" s="1441" t="s">
        <v>350</v>
      </c>
      <c r="G76" s="1441">
        <v>3</v>
      </c>
      <c r="H76" s="1441" t="s">
        <v>480</v>
      </c>
      <c r="I76" s="1441" t="s">
        <v>499</v>
      </c>
      <c r="J76" s="1441">
        <v>274</v>
      </c>
      <c r="K76" s="1446" t="s">
        <v>493</v>
      </c>
    </row>
    <row r="77" spans="1:11" x14ac:dyDescent="0.35">
      <c r="A77" s="1445"/>
      <c r="B77" s="1441">
        <v>73</v>
      </c>
      <c r="C77" s="1441" t="s">
        <v>51</v>
      </c>
      <c r="D77" s="1442">
        <v>54.1</v>
      </c>
      <c r="E77" s="1443">
        <f t="shared" si="4"/>
        <v>582.32699000000002</v>
      </c>
      <c r="F77" s="1441" t="s">
        <v>351</v>
      </c>
      <c r="G77" s="1441">
        <v>2</v>
      </c>
      <c r="H77" s="1441" t="s">
        <v>431</v>
      </c>
      <c r="I77" s="1441" t="s">
        <v>486</v>
      </c>
      <c r="J77" s="1441">
        <v>176</v>
      </c>
      <c r="K77" s="1441" t="s">
        <v>494</v>
      </c>
    </row>
    <row r="78" spans="1:11" x14ac:dyDescent="0.35">
      <c r="A78" s="1445"/>
      <c r="B78" s="1441">
        <v>74</v>
      </c>
      <c r="C78" s="1441" t="s">
        <v>51</v>
      </c>
      <c r="D78" s="1442">
        <v>82.4</v>
      </c>
      <c r="E78" s="1443">
        <f t="shared" si="4"/>
        <v>886.94536000000005</v>
      </c>
      <c r="F78" s="1441" t="s">
        <v>349</v>
      </c>
      <c r="G78" s="1441">
        <v>2</v>
      </c>
      <c r="H78" s="1441" t="s">
        <v>431</v>
      </c>
      <c r="I78" s="1441" t="s">
        <v>469</v>
      </c>
      <c r="J78" s="1441" t="s">
        <v>79</v>
      </c>
      <c r="K78" s="1441" t="s">
        <v>500</v>
      </c>
    </row>
    <row r="79" spans="1:11" x14ac:dyDescent="0.35">
      <c r="A79" s="1445"/>
      <c r="B79" s="1441">
        <v>75</v>
      </c>
      <c r="C79" s="1441" t="s">
        <v>51</v>
      </c>
      <c r="D79" s="1442">
        <v>54.1</v>
      </c>
      <c r="E79" s="1443">
        <f t="shared" si="4"/>
        <v>582.32699000000002</v>
      </c>
      <c r="F79" s="1441" t="s">
        <v>351</v>
      </c>
      <c r="G79" s="1441">
        <v>2</v>
      </c>
      <c r="H79" s="1441" t="s">
        <v>431</v>
      </c>
      <c r="I79" s="1441" t="s">
        <v>469</v>
      </c>
      <c r="J79" s="1441" t="s">
        <v>79</v>
      </c>
      <c r="K79" s="1441" t="s">
        <v>494</v>
      </c>
    </row>
    <row r="80" spans="1:11" x14ac:dyDescent="0.35">
      <c r="A80" s="1445"/>
      <c r="B80" s="1441">
        <v>76</v>
      </c>
      <c r="C80" s="1441" t="s">
        <v>51</v>
      </c>
      <c r="D80" s="1442">
        <v>93.3</v>
      </c>
      <c r="E80" s="1443">
        <f t="shared" si="4"/>
        <v>1004.2718699999999</v>
      </c>
      <c r="F80" s="1441" t="s">
        <v>352</v>
      </c>
      <c r="G80" s="1441">
        <v>2</v>
      </c>
      <c r="H80" s="1441" t="s">
        <v>431</v>
      </c>
      <c r="I80" s="1441" t="s">
        <v>469</v>
      </c>
      <c r="J80" s="1441" t="s">
        <v>79</v>
      </c>
      <c r="K80" s="1441" t="s">
        <v>501</v>
      </c>
    </row>
    <row r="81" spans="1:11" x14ac:dyDescent="0.35">
      <c r="A81" s="1445"/>
      <c r="B81" s="1441">
        <v>77</v>
      </c>
      <c r="C81" s="1441" t="s">
        <v>51</v>
      </c>
      <c r="D81" s="1442">
        <v>72.7</v>
      </c>
      <c r="E81" s="1443">
        <f t="shared" si="4"/>
        <v>782.53552999999999</v>
      </c>
      <c r="F81" s="1441" t="s">
        <v>347</v>
      </c>
      <c r="G81" s="1441">
        <v>2</v>
      </c>
      <c r="H81" s="1441" t="s">
        <v>431</v>
      </c>
      <c r="I81" s="1441" t="s">
        <v>469</v>
      </c>
      <c r="J81" s="1441" t="s">
        <v>79</v>
      </c>
      <c r="K81" s="1441" t="s">
        <v>456</v>
      </c>
    </row>
    <row r="82" spans="1:11" x14ac:dyDescent="0.35">
      <c r="A82" s="1445"/>
      <c r="B82" s="1441">
        <v>78</v>
      </c>
      <c r="C82" s="1441" t="s">
        <v>51</v>
      </c>
      <c r="D82" s="1442">
        <v>78.599999999999994</v>
      </c>
      <c r="E82" s="1443">
        <f t="shared" si="4"/>
        <v>846.04253999999992</v>
      </c>
      <c r="F82" s="1441" t="s">
        <v>347</v>
      </c>
      <c r="G82" s="1441">
        <v>2</v>
      </c>
      <c r="H82" s="1441" t="s">
        <v>431</v>
      </c>
      <c r="I82" s="1441" t="s">
        <v>469</v>
      </c>
      <c r="J82" s="1441" t="s">
        <v>79</v>
      </c>
      <c r="K82" s="1441" t="s">
        <v>502</v>
      </c>
    </row>
    <row r="83" spans="1:11" x14ac:dyDescent="0.35">
      <c r="A83" s="1445"/>
      <c r="B83" s="1441">
        <v>79</v>
      </c>
      <c r="C83" s="1441" t="s">
        <v>51</v>
      </c>
      <c r="D83" s="1442">
        <v>84.7</v>
      </c>
      <c r="E83" s="1443">
        <f>SUM(D83*10.7639)</f>
        <v>911.70232999999996</v>
      </c>
      <c r="F83" s="1441" t="s">
        <v>348</v>
      </c>
      <c r="G83" s="1441">
        <v>2</v>
      </c>
      <c r="H83" s="1441" t="s">
        <v>431</v>
      </c>
      <c r="I83" s="1441" t="s">
        <v>469</v>
      </c>
      <c r="J83" s="1441" t="s">
        <v>79</v>
      </c>
      <c r="K83" s="1441" t="s">
        <v>503</v>
      </c>
    </row>
    <row r="84" spans="1:11" x14ac:dyDescent="0.35">
      <c r="A84" s="1445"/>
      <c r="B84" s="1441">
        <v>80</v>
      </c>
      <c r="C84" s="1441" t="s">
        <v>51</v>
      </c>
      <c r="D84" s="1442">
        <v>84.7</v>
      </c>
      <c r="E84" s="1443">
        <f>SUM(D84*10.7639)</f>
        <v>911.70232999999996</v>
      </c>
      <c r="F84" s="1441" t="s">
        <v>348</v>
      </c>
      <c r="G84" s="1441">
        <v>2</v>
      </c>
      <c r="H84" s="1441" t="s">
        <v>431</v>
      </c>
      <c r="I84" s="1441" t="s">
        <v>469</v>
      </c>
      <c r="J84" s="1441" t="s">
        <v>79</v>
      </c>
      <c r="K84" s="1441" t="s">
        <v>503</v>
      </c>
    </row>
    <row r="85" spans="1:11" x14ac:dyDescent="0.35">
      <c r="A85" s="1445"/>
      <c r="B85" s="1441">
        <v>81</v>
      </c>
      <c r="C85" s="1441" t="s">
        <v>51</v>
      </c>
      <c r="D85" s="1442">
        <v>49.3</v>
      </c>
      <c r="E85" s="1443">
        <f t="shared" ref="E85:E120" si="5">SUM(D85*10.7639)</f>
        <v>530.66026999999997</v>
      </c>
      <c r="F85" s="1441" t="s">
        <v>351</v>
      </c>
      <c r="G85" s="1441">
        <v>2</v>
      </c>
      <c r="H85" s="1441" t="s">
        <v>431</v>
      </c>
      <c r="I85" s="1441" t="s">
        <v>469</v>
      </c>
      <c r="J85" s="1441" t="s">
        <v>79</v>
      </c>
      <c r="K85" s="1441" t="s">
        <v>452</v>
      </c>
    </row>
    <row r="86" spans="1:11" x14ac:dyDescent="0.35">
      <c r="A86" s="1445"/>
      <c r="B86" s="1441">
        <v>82</v>
      </c>
      <c r="C86" s="1441" t="s">
        <v>51</v>
      </c>
      <c r="D86" s="1442">
        <v>72.7</v>
      </c>
      <c r="E86" s="1443">
        <f t="shared" si="5"/>
        <v>782.53552999999999</v>
      </c>
      <c r="F86" s="1441" t="s">
        <v>347</v>
      </c>
      <c r="G86" s="1441">
        <v>2</v>
      </c>
      <c r="H86" s="1441" t="s">
        <v>431</v>
      </c>
      <c r="I86" s="1441" t="s">
        <v>486</v>
      </c>
      <c r="J86" s="1441">
        <v>70</v>
      </c>
      <c r="K86" s="1441" t="s">
        <v>504</v>
      </c>
    </row>
    <row r="87" spans="1:11" x14ac:dyDescent="0.35">
      <c r="A87" s="1445"/>
      <c r="B87" s="1441">
        <v>83</v>
      </c>
      <c r="C87" s="1441" t="s">
        <v>15</v>
      </c>
      <c r="D87" s="1442">
        <v>78</v>
      </c>
      <c r="E87" s="1443">
        <f t="shared" si="5"/>
        <v>839.58420000000001</v>
      </c>
      <c r="F87" s="1441" t="s">
        <v>349</v>
      </c>
      <c r="G87" s="1441">
        <v>2</v>
      </c>
      <c r="H87" s="1441" t="s">
        <v>431</v>
      </c>
      <c r="I87" s="1441" t="s">
        <v>435</v>
      </c>
      <c r="J87" s="1441">
        <v>70</v>
      </c>
      <c r="K87" s="1441" t="s">
        <v>505</v>
      </c>
    </row>
    <row r="88" spans="1:11" x14ac:dyDescent="0.35">
      <c r="A88" s="1445"/>
      <c r="B88" s="1441">
        <v>84</v>
      </c>
      <c r="C88" s="1441" t="s">
        <v>15</v>
      </c>
      <c r="D88" s="1442">
        <v>90.2</v>
      </c>
      <c r="E88" s="1443">
        <f t="shared" si="5"/>
        <v>970.90377999999998</v>
      </c>
      <c r="F88" s="1441" t="s">
        <v>349</v>
      </c>
      <c r="G88" s="1441">
        <v>2</v>
      </c>
      <c r="H88" s="1441" t="s">
        <v>431</v>
      </c>
      <c r="I88" s="1441" t="s">
        <v>435</v>
      </c>
      <c r="J88" s="1441">
        <v>70</v>
      </c>
      <c r="K88" s="1441" t="s">
        <v>505</v>
      </c>
    </row>
    <row r="89" spans="1:11" x14ac:dyDescent="0.35">
      <c r="A89" s="1445"/>
      <c r="B89" s="1441">
        <v>85</v>
      </c>
      <c r="C89" s="1441" t="s">
        <v>15</v>
      </c>
      <c r="D89" s="1442">
        <v>78</v>
      </c>
      <c r="E89" s="1443">
        <f t="shared" si="5"/>
        <v>839.58420000000001</v>
      </c>
      <c r="F89" s="1441" t="s">
        <v>349</v>
      </c>
      <c r="G89" s="1441">
        <v>2</v>
      </c>
      <c r="H89" s="1441" t="s">
        <v>431</v>
      </c>
      <c r="I89" s="1441" t="s">
        <v>435</v>
      </c>
      <c r="J89" s="1441">
        <v>70</v>
      </c>
      <c r="K89" s="1441" t="s">
        <v>505</v>
      </c>
    </row>
    <row r="90" spans="1:11" x14ac:dyDescent="0.35">
      <c r="A90" s="1449"/>
      <c r="B90" s="1441">
        <v>86</v>
      </c>
      <c r="C90" s="1441" t="s">
        <v>15</v>
      </c>
      <c r="D90" s="1442">
        <v>78</v>
      </c>
      <c r="E90" s="1443">
        <f t="shared" si="5"/>
        <v>839.58420000000001</v>
      </c>
      <c r="F90" s="1441" t="s">
        <v>349</v>
      </c>
      <c r="G90" s="1441">
        <v>2</v>
      </c>
      <c r="H90" s="1441" t="s">
        <v>431</v>
      </c>
      <c r="I90" s="1441" t="s">
        <v>435</v>
      </c>
      <c r="J90" s="1441">
        <v>70</v>
      </c>
      <c r="K90" s="1441" t="s">
        <v>505</v>
      </c>
    </row>
    <row r="91" spans="1:11" x14ac:dyDescent="0.35">
      <c r="A91" s="1450" t="s">
        <v>123</v>
      </c>
      <c r="B91" s="1451">
        <v>87</v>
      </c>
      <c r="C91" s="1451" t="s">
        <v>15</v>
      </c>
      <c r="D91" s="1452">
        <v>99.1</v>
      </c>
      <c r="E91" s="1453">
        <f t="shared" si="5"/>
        <v>1066.7024899999999</v>
      </c>
      <c r="F91" s="1451" t="s">
        <v>352</v>
      </c>
      <c r="G91" s="1451">
        <v>3</v>
      </c>
      <c r="H91" s="1451" t="s">
        <v>480</v>
      </c>
      <c r="I91" s="1451" t="s">
        <v>506</v>
      </c>
      <c r="J91" s="1451">
        <v>263</v>
      </c>
      <c r="K91" s="1451" t="s">
        <v>507</v>
      </c>
    </row>
    <row r="92" spans="1:11" ht="30" x14ac:dyDescent="0.35">
      <c r="A92" s="1454"/>
      <c r="B92" s="1451">
        <v>88</v>
      </c>
      <c r="C92" s="1451" t="s">
        <v>15</v>
      </c>
      <c r="D92" s="1452">
        <v>131.4</v>
      </c>
      <c r="E92" s="1453">
        <f t="shared" si="5"/>
        <v>1414.37646</v>
      </c>
      <c r="F92" s="1451" t="s">
        <v>355</v>
      </c>
      <c r="G92" s="1451">
        <v>3</v>
      </c>
      <c r="H92" s="1451" t="s">
        <v>480</v>
      </c>
      <c r="I92" s="1451" t="s">
        <v>508</v>
      </c>
      <c r="J92" s="1451">
        <v>477</v>
      </c>
      <c r="K92" s="1455" t="s">
        <v>509</v>
      </c>
    </row>
    <row r="93" spans="1:11" ht="30" x14ac:dyDescent="0.35">
      <c r="A93" s="1454"/>
      <c r="B93" s="1451">
        <v>89</v>
      </c>
      <c r="C93" s="1451" t="s">
        <v>15</v>
      </c>
      <c r="D93" s="1456">
        <v>131.4</v>
      </c>
      <c r="E93" s="1457">
        <f t="shared" si="5"/>
        <v>1414.37646</v>
      </c>
      <c r="F93" s="1451" t="s">
        <v>355</v>
      </c>
      <c r="G93" s="1451">
        <v>3</v>
      </c>
      <c r="H93" s="1451" t="s">
        <v>480</v>
      </c>
      <c r="I93" s="1451" t="s">
        <v>499</v>
      </c>
      <c r="J93" s="1451">
        <v>144</v>
      </c>
      <c r="K93" s="1455" t="s">
        <v>509</v>
      </c>
    </row>
    <row r="94" spans="1:11" x14ac:dyDescent="0.35">
      <c r="A94" s="1454"/>
      <c r="B94" s="1451">
        <v>90</v>
      </c>
      <c r="C94" s="1451" t="s">
        <v>15</v>
      </c>
      <c r="D94" s="1456">
        <v>77.099999999999994</v>
      </c>
      <c r="E94" s="1457">
        <f t="shared" si="5"/>
        <v>829.89668999999992</v>
      </c>
      <c r="F94" s="1451" t="s">
        <v>347</v>
      </c>
      <c r="G94" s="1451">
        <v>3</v>
      </c>
      <c r="H94" s="1451" t="s">
        <v>480</v>
      </c>
      <c r="I94" s="1451" t="s">
        <v>499</v>
      </c>
      <c r="J94" s="1451">
        <v>99</v>
      </c>
      <c r="K94" s="1451" t="s">
        <v>510</v>
      </c>
    </row>
    <row r="95" spans="1:11" x14ac:dyDescent="0.35">
      <c r="A95" s="1454"/>
      <c r="B95" s="1451">
        <v>91</v>
      </c>
      <c r="C95" s="1451" t="s">
        <v>15</v>
      </c>
      <c r="D95" s="1456">
        <v>70</v>
      </c>
      <c r="E95" s="1457">
        <f>SUM(D95*10.7639)</f>
        <v>753.47299999999996</v>
      </c>
      <c r="F95" s="1451" t="s">
        <v>347</v>
      </c>
      <c r="G95" s="1451">
        <v>3</v>
      </c>
      <c r="H95" s="1451" t="s">
        <v>480</v>
      </c>
      <c r="I95" s="1451" t="s">
        <v>499</v>
      </c>
      <c r="J95" s="1451">
        <v>96</v>
      </c>
      <c r="K95" s="1451" t="s">
        <v>511</v>
      </c>
    </row>
    <row r="96" spans="1:11" x14ac:dyDescent="0.35">
      <c r="A96" s="1454"/>
      <c r="B96" s="1451">
        <v>92</v>
      </c>
      <c r="C96" s="1451" t="s">
        <v>15</v>
      </c>
      <c r="D96" s="1456">
        <v>70</v>
      </c>
      <c r="E96" s="1457">
        <f t="shared" si="5"/>
        <v>753.47299999999996</v>
      </c>
      <c r="F96" s="1451" t="s">
        <v>347</v>
      </c>
      <c r="G96" s="1451">
        <v>3</v>
      </c>
      <c r="H96" s="1451" t="s">
        <v>480</v>
      </c>
      <c r="I96" s="1451" t="s">
        <v>499</v>
      </c>
      <c r="J96" s="1451">
        <v>93</v>
      </c>
      <c r="K96" s="1451" t="s">
        <v>512</v>
      </c>
    </row>
    <row r="97" spans="1:11" x14ac:dyDescent="0.35">
      <c r="A97" s="1454"/>
      <c r="B97" s="1451">
        <v>93</v>
      </c>
      <c r="C97" s="1451" t="s">
        <v>15</v>
      </c>
      <c r="D97" s="1456">
        <v>76.599999999999994</v>
      </c>
      <c r="E97" s="1457">
        <f t="shared" si="5"/>
        <v>824.51473999999996</v>
      </c>
      <c r="F97" s="1451" t="s">
        <v>347</v>
      </c>
      <c r="G97" s="1451">
        <v>2</v>
      </c>
      <c r="H97" s="1451" t="s">
        <v>480</v>
      </c>
      <c r="I97" s="1451" t="s">
        <v>469</v>
      </c>
      <c r="J97" s="1451" t="s">
        <v>79</v>
      </c>
      <c r="K97" s="1451" t="s">
        <v>513</v>
      </c>
    </row>
    <row r="98" spans="1:11" x14ac:dyDescent="0.35">
      <c r="A98" s="1454"/>
      <c r="B98" s="1451">
        <v>94</v>
      </c>
      <c r="C98" s="1451" t="s">
        <v>15</v>
      </c>
      <c r="D98" s="1452">
        <v>74.2</v>
      </c>
      <c r="E98" s="1453">
        <f t="shared" si="5"/>
        <v>798.68137999999999</v>
      </c>
      <c r="F98" s="1451" t="s">
        <v>347</v>
      </c>
      <c r="G98" s="1451">
        <v>2</v>
      </c>
      <c r="H98" s="1451" t="s">
        <v>431</v>
      </c>
      <c r="I98" s="1451" t="s">
        <v>514</v>
      </c>
      <c r="J98" s="1451">
        <v>123</v>
      </c>
      <c r="K98" s="1451" t="s">
        <v>515</v>
      </c>
    </row>
    <row r="99" spans="1:11" x14ac:dyDescent="0.35">
      <c r="A99" s="1454"/>
      <c r="B99" s="1451">
        <v>95</v>
      </c>
      <c r="C99" s="1451" t="s">
        <v>15</v>
      </c>
      <c r="D99" s="1456">
        <v>80.3</v>
      </c>
      <c r="E99" s="1457">
        <f t="shared" si="5"/>
        <v>864.34116999999992</v>
      </c>
      <c r="F99" s="1451" t="s">
        <v>349</v>
      </c>
      <c r="G99" s="1451">
        <v>2</v>
      </c>
      <c r="H99" s="1451" t="s">
        <v>480</v>
      </c>
      <c r="I99" s="1451" t="s">
        <v>486</v>
      </c>
      <c r="J99" s="1451">
        <v>108</v>
      </c>
      <c r="K99" s="1451" t="s">
        <v>516</v>
      </c>
    </row>
    <row r="100" spans="1:11" x14ac:dyDescent="0.35">
      <c r="A100" s="1454"/>
      <c r="B100" s="1451">
        <v>96</v>
      </c>
      <c r="C100" s="1451" t="s">
        <v>15</v>
      </c>
      <c r="D100" s="1452">
        <v>81</v>
      </c>
      <c r="E100" s="1453">
        <f t="shared" si="5"/>
        <v>871.8759</v>
      </c>
      <c r="F100" s="1451" t="s">
        <v>352</v>
      </c>
      <c r="G100" s="1451">
        <v>3</v>
      </c>
      <c r="H100" s="1451" t="s">
        <v>360</v>
      </c>
      <c r="I100" s="1451" t="s">
        <v>517</v>
      </c>
      <c r="J100" s="1451">
        <v>356</v>
      </c>
      <c r="K100" s="1451" t="s">
        <v>518</v>
      </c>
    </row>
    <row r="101" spans="1:11" x14ac:dyDescent="0.35">
      <c r="A101" s="1454"/>
      <c r="B101" s="1451">
        <v>97</v>
      </c>
      <c r="C101" s="1451" t="s">
        <v>15</v>
      </c>
      <c r="D101" s="1452">
        <v>93.4</v>
      </c>
      <c r="E101" s="1453">
        <f t="shared" si="5"/>
        <v>1005.34826</v>
      </c>
      <c r="F101" s="1451" t="s">
        <v>352</v>
      </c>
      <c r="G101" s="1451">
        <v>3</v>
      </c>
      <c r="H101" s="1451" t="s">
        <v>360</v>
      </c>
      <c r="I101" s="1451" t="s">
        <v>517</v>
      </c>
      <c r="J101" s="1451">
        <v>489</v>
      </c>
      <c r="K101" s="1451" t="s">
        <v>505</v>
      </c>
    </row>
    <row r="102" spans="1:11" ht="30" x14ac:dyDescent="0.35">
      <c r="A102" s="1454"/>
      <c r="B102" s="1451">
        <v>98</v>
      </c>
      <c r="C102" s="1451" t="s">
        <v>15</v>
      </c>
      <c r="D102" s="1452">
        <v>179.6</v>
      </c>
      <c r="E102" s="1453">
        <f t="shared" si="5"/>
        <v>1933.1964399999999</v>
      </c>
      <c r="F102" s="1451" t="s">
        <v>350</v>
      </c>
      <c r="G102" s="1451">
        <v>4</v>
      </c>
      <c r="H102" s="1451" t="s">
        <v>480</v>
      </c>
      <c r="I102" s="1451" t="s">
        <v>519</v>
      </c>
      <c r="J102" s="1451">
        <v>410</v>
      </c>
      <c r="K102" s="1455" t="s">
        <v>520</v>
      </c>
    </row>
    <row r="103" spans="1:11" x14ac:dyDescent="0.35">
      <c r="A103" s="1454"/>
      <c r="B103" s="1451">
        <v>99</v>
      </c>
      <c r="C103" s="1451" t="s">
        <v>15</v>
      </c>
      <c r="D103" s="1452">
        <v>83.1</v>
      </c>
      <c r="E103" s="1453">
        <f t="shared" si="5"/>
        <v>894.4800899999999</v>
      </c>
      <c r="F103" s="1451" t="s">
        <v>348</v>
      </c>
      <c r="G103" s="1451">
        <v>3</v>
      </c>
      <c r="H103" s="1451" t="s">
        <v>521</v>
      </c>
      <c r="I103" s="1451" t="s">
        <v>490</v>
      </c>
      <c r="J103" s="1451">
        <v>188</v>
      </c>
      <c r="K103" s="1451" t="s">
        <v>522</v>
      </c>
    </row>
    <row r="104" spans="1:11" x14ac:dyDescent="0.35">
      <c r="A104" s="1454"/>
      <c r="B104" s="1451">
        <v>100</v>
      </c>
      <c r="C104" s="1451" t="s">
        <v>15</v>
      </c>
      <c r="D104" s="1456">
        <v>95</v>
      </c>
      <c r="E104" s="1457">
        <f t="shared" si="5"/>
        <v>1022.5704999999999</v>
      </c>
      <c r="F104" s="1451" t="s">
        <v>349</v>
      </c>
      <c r="G104" s="1451">
        <v>3</v>
      </c>
      <c r="H104" s="1451" t="s">
        <v>434</v>
      </c>
      <c r="I104" s="1451" t="s">
        <v>499</v>
      </c>
      <c r="J104" s="1451">
        <v>98</v>
      </c>
      <c r="K104" s="1451" t="s">
        <v>523</v>
      </c>
    </row>
    <row r="105" spans="1:11" x14ac:dyDescent="0.35">
      <c r="A105" s="1454"/>
      <c r="B105" s="1451">
        <v>101</v>
      </c>
      <c r="C105" s="1451" t="s">
        <v>15</v>
      </c>
      <c r="D105" s="1456">
        <v>95</v>
      </c>
      <c r="E105" s="1457">
        <f t="shared" si="5"/>
        <v>1022.5704999999999</v>
      </c>
      <c r="F105" s="1451" t="s">
        <v>349</v>
      </c>
      <c r="G105" s="1451">
        <v>3</v>
      </c>
      <c r="H105" s="1451" t="s">
        <v>434</v>
      </c>
      <c r="I105" s="1451" t="s">
        <v>499</v>
      </c>
      <c r="J105" s="1451">
        <v>98</v>
      </c>
      <c r="K105" s="1451" t="s">
        <v>523</v>
      </c>
    </row>
    <row r="106" spans="1:11" x14ac:dyDescent="0.35">
      <c r="A106" s="1454"/>
      <c r="B106" s="1451">
        <v>102</v>
      </c>
      <c r="C106" s="1451" t="s">
        <v>15</v>
      </c>
      <c r="D106" s="1452">
        <v>83.1</v>
      </c>
      <c r="E106" s="1453">
        <f t="shared" si="5"/>
        <v>894.4800899999999</v>
      </c>
      <c r="F106" s="1451" t="s">
        <v>348</v>
      </c>
      <c r="G106" s="1451">
        <v>3</v>
      </c>
      <c r="H106" s="1451" t="s">
        <v>360</v>
      </c>
      <c r="I106" s="1451" t="s">
        <v>490</v>
      </c>
      <c r="J106" s="1451">
        <v>188</v>
      </c>
      <c r="K106" s="1451" t="s">
        <v>522</v>
      </c>
    </row>
    <row r="107" spans="1:11" ht="30" x14ac:dyDescent="0.35">
      <c r="A107" s="1454"/>
      <c r="B107" s="1451">
        <v>103</v>
      </c>
      <c r="C107" s="1451" t="s">
        <v>15</v>
      </c>
      <c r="D107" s="1456">
        <v>103.6</v>
      </c>
      <c r="E107" s="1457">
        <f t="shared" si="5"/>
        <v>1115.14004</v>
      </c>
      <c r="F107" s="1451" t="s">
        <v>352</v>
      </c>
      <c r="G107" s="1451">
        <v>3</v>
      </c>
      <c r="H107" s="1451" t="s">
        <v>524</v>
      </c>
      <c r="I107" s="1451" t="s">
        <v>525</v>
      </c>
      <c r="J107" s="1451">
        <v>316</v>
      </c>
      <c r="K107" s="1455" t="s">
        <v>526</v>
      </c>
    </row>
    <row r="108" spans="1:11" x14ac:dyDescent="0.35">
      <c r="A108" s="1454"/>
      <c r="B108" s="1451">
        <v>104</v>
      </c>
      <c r="C108" s="1451" t="s">
        <v>15</v>
      </c>
      <c r="D108" s="1456">
        <v>94.4</v>
      </c>
      <c r="E108" s="1457">
        <f t="shared" si="5"/>
        <v>1016.11216</v>
      </c>
      <c r="F108" s="1451" t="s">
        <v>349</v>
      </c>
      <c r="G108" s="1451">
        <v>2</v>
      </c>
      <c r="H108" s="1451" t="s">
        <v>524</v>
      </c>
      <c r="I108" s="1451" t="s">
        <v>469</v>
      </c>
      <c r="J108" s="1451" t="s">
        <v>79</v>
      </c>
      <c r="K108" s="1451" t="s">
        <v>527</v>
      </c>
    </row>
    <row r="109" spans="1:11" ht="30" x14ac:dyDescent="0.35">
      <c r="A109" s="1454"/>
      <c r="B109" s="1451">
        <v>105</v>
      </c>
      <c r="C109" s="1451" t="s">
        <v>15</v>
      </c>
      <c r="D109" s="1452">
        <v>120.7</v>
      </c>
      <c r="E109" s="1453">
        <f t="shared" si="5"/>
        <v>1299.20273</v>
      </c>
      <c r="F109" s="1451" t="s">
        <v>353</v>
      </c>
      <c r="G109" s="1451">
        <v>3</v>
      </c>
      <c r="H109" s="1451" t="s">
        <v>524</v>
      </c>
      <c r="I109" s="1451" t="s">
        <v>495</v>
      </c>
      <c r="J109" s="1451">
        <v>308</v>
      </c>
      <c r="K109" s="1455" t="s">
        <v>528</v>
      </c>
    </row>
    <row r="110" spans="1:11" x14ac:dyDescent="0.35">
      <c r="A110" s="1454"/>
      <c r="B110" s="1451">
        <v>106</v>
      </c>
      <c r="C110" s="1451" t="s">
        <v>15</v>
      </c>
      <c r="D110" s="1456">
        <v>89.4</v>
      </c>
      <c r="E110" s="1457">
        <f t="shared" si="5"/>
        <v>962.29266000000007</v>
      </c>
      <c r="F110" s="1451" t="s">
        <v>348</v>
      </c>
      <c r="G110" s="1451">
        <v>3</v>
      </c>
      <c r="H110" s="1451" t="s">
        <v>431</v>
      </c>
      <c r="I110" s="1451" t="s">
        <v>525</v>
      </c>
      <c r="J110" s="1451">
        <v>180</v>
      </c>
      <c r="K110" s="1451" t="s">
        <v>500</v>
      </c>
    </row>
    <row r="111" spans="1:11" ht="30" x14ac:dyDescent="0.35">
      <c r="A111" s="1454"/>
      <c r="B111" s="1451">
        <v>107</v>
      </c>
      <c r="C111" s="1451" t="s">
        <v>324</v>
      </c>
      <c r="D111" s="1456">
        <v>82.5</v>
      </c>
      <c r="E111" s="1457">
        <f t="shared" si="5"/>
        <v>888.02175</v>
      </c>
      <c r="F111" s="1451" t="s">
        <v>347</v>
      </c>
      <c r="G111" s="1451">
        <v>2</v>
      </c>
      <c r="H111" s="1451" t="s">
        <v>431</v>
      </c>
      <c r="I111" s="1451" t="s">
        <v>529</v>
      </c>
      <c r="J111" s="1451">
        <v>93</v>
      </c>
      <c r="K111" s="1455" t="s">
        <v>530</v>
      </c>
    </row>
    <row r="112" spans="1:11" x14ac:dyDescent="0.35">
      <c r="A112" s="1454"/>
      <c r="B112" s="1451">
        <v>108</v>
      </c>
      <c r="C112" s="1451" t="s">
        <v>15</v>
      </c>
      <c r="D112" s="1456">
        <v>108</v>
      </c>
      <c r="E112" s="1457">
        <f t="shared" si="5"/>
        <v>1162.5011999999999</v>
      </c>
      <c r="F112" s="1451" t="s">
        <v>352</v>
      </c>
      <c r="G112" s="1451">
        <v>3</v>
      </c>
      <c r="H112" s="1451" t="s">
        <v>480</v>
      </c>
      <c r="I112" s="1451" t="s">
        <v>499</v>
      </c>
      <c r="J112" s="1451">
        <v>118</v>
      </c>
      <c r="K112" s="1451" t="s">
        <v>531</v>
      </c>
    </row>
    <row r="113" spans="1:11" x14ac:dyDescent="0.35">
      <c r="A113" s="1454"/>
      <c r="B113" s="1451">
        <v>109</v>
      </c>
      <c r="C113" s="1451" t="s">
        <v>15</v>
      </c>
      <c r="D113" s="1456">
        <v>108</v>
      </c>
      <c r="E113" s="1457">
        <f t="shared" si="5"/>
        <v>1162.5011999999999</v>
      </c>
      <c r="F113" s="1451" t="s">
        <v>348</v>
      </c>
      <c r="G113" s="1451">
        <v>3</v>
      </c>
      <c r="H113" s="1451" t="s">
        <v>480</v>
      </c>
      <c r="I113" s="1451" t="s">
        <v>499</v>
      </c>
      <c r="J113" s="1451">
        <v>107</v>
      </c>
      <c r="K113" s="1451" t="s">
        <v>527</v>
      </c>
    </row>
    <row r="114" spans="1:11" x14ac:dyDescent="0.35">
      <c r="A114" s="1454"/>
      <c r="B114" s="1451">
        <v>110</v>
      </c>
      <c r="C114" s="1451" t="s">
        <v>51</v>
      </c>
      <c r="D114" s="1456">
        <v>72.900000000000006</v>
      </c>
      <c r="E114" s="1457">
        <f t="shared" si="5"/>
        <v>784.68831</v>
      </c>
      <c r="F114" s="1451" t="s">
        <v>347</v>
      </c>
      <c r="G114" s="1451">
        <v>2</v>
      </c>
      <c r="H114" s="1451" t="s">
        <v>431</v>
      </c>
      <c r="I114" s="1451" t="s">
        <v>499</v>
      </c>
      <c r="J114" s="1451">
        <v>38</v>
      </c>
      <c r="K114" s="1451" t="s">
        <v>532</v>
      </c>
    </row>
    <row r="115" spans="1:11" x14ac:dyDescent="0.35">
      <c r="A115" s="1454"/>
      <c r="B115" s="1451">
        <v>111</v>
      </c>
      <c r="C115" s="1451" t="s">
        <v>51</v>
      </c>
      <c r="D115" s="1456">
        <v>72.900000000000006</v>
      </c>
      <c r="E115" s="1457">
        <f t="shared" si="5"/>
        <v>784.68831</v>
      </c>
      <c r="F115" s="1451" t="s">
        <v>347</v>
      </c>
      <c r="G115" s="1451">
        <v>2</v>
      </c>
      <c r="H115" s="1451" t="s">
        <v>431</v>
      </c>
      <c r="I115" s="1451" t="s">
        <v>525</v>
      </c>
      <c r="J115" s="1451">
        <v>95</v>
      </c>
      <c r="K115" s="1451" t="s">
        <v>533</v>
      </c>
    </row>
    <row r="116" spans="1:11" ht="30" x14ac:dyDescent="0.35">
      <c r="A116" s="1454"/>
      <c r="B116" s="1451">
        <v>112</v>
      </c>
      <c r="C116" s="1451" t="s">
        <v>51</v>
      </c>
      <c r="D116" s="1456">
        <v>100.4</v>
      </c>
      <c r="E116" s="1457">
        <f t="shared" si="5"/>
        <v>1080.6955600000001</v>
      </c>
      <c r="F116" s="1451" t="s">
        <v>348</v>
      </c>
      <c r="G116" s="1451">
        <v>2</v>
      </c>
      <c r="H116" s="1451" t="s">
        <v>431</v>
      </c>
      <c r="I116" s="1451" t="s">
        <v>525</v>
      </c>
      <c r="J116" s="1451">
        <v>95</v>
      </c>
      <c r="K116" s="1455" t="s">
        <v>534</v>
      </c>
    </row>
    <row r="117" spans="1:11" x14ac:dyDescent="0.35">
      <c r="A117" s="1454"/>
      <c r="B117" s="1451">
        <v>113</v>
      </c>
      <c r="C117" s="1451" t="s">
        <v>51</v>
      </c>
      <c r="D117" s="1452">
        <v>79.2</v>
      </c>
      <c r="E117" s="1453">
        <f t="shared" si="5"/>
        <v>852.50088000000005</v>
      </c>
      <c r="F117" s="1451" t="s">
        <v>349</v>
      </c>
      <c r="G117" s="1451">
        <v>2</v>
      </c>
      <c r="H117" s="1451" t="s">
        <v>431</v>
      </c>
      <c r="I117" s="1451" t="s">
        <v>535</v>
      </c>
      <c r="J117" s="1451">
        <v>172</v>
      </c>
      <c r="K117" s="1451" t="s">
        <v>536</v>
      </c>
    </row>
    <row r="118" spans="1:11" ht="30" x14ac:dyDescent="0.35">
      <c r="A118" s="1454"/>
      <c r="B118" s="1451">
        <v>114</v>
      </c>
      <c r="C118" s="1451" t="s">
        <v>51</v>
      </c>
      <c r="D118" s="1456">
        <v>100.4</v>
      </c>
      <c r="E118" s="1457">
        <f t="shared" si="5"/>
        <v>1080.6955600000001</v>
      </c>
      <c r="F118" s="1451" t="s">
        <v>348</v>
      </c>
      <c r="G118" s="1451">
        <v>2</v>
      </c>
      <c r="H118" s="1451" t="s">
        <v>480</v>
      </c>
      <c r="I118" s="1451" t="s">
        <v>486</v>
      </c>
      <c r="J118" s="1451">
        <v>47</v>
      </c>
      <c r="K118" s="1455" t="s">
        <v>534</v>
      </c>
    </row>
    <row r="119" spans="1:11" x14ac:dyDescent="0.35">
      <c r="A119" s="1458"/>
      <c r="B119" s="1451">
        <v>115</v>
      </c>
      <c r="C119" s="1451" t="s">
        <v>51</v>
      </c>
      <c r="D119" s="1456">
        <v>79</v>
      </c>
      <c r="E119" s="1457">
        <f t="shared" si="5"/>
        <v>850.34809999999993</v>
      </c>
      <c r="F119" s="1451" t="s">
        <v>349</v>
      </c>
      <c r="G119" s="1451">
        <v>2</v>
      </c>
      <c r="H119" s="1451" t="s">
        <v>480</v>
      </c>
      <c r="I119" s="1451" t="s">
        <v>486</v>
      </c>
      <c r="J119" s="1451">
        <v>85</v>
      </c>
      <c r="K119" s="1451" t="s">
        <v>536</v>
      </c>
    </row>
    <row r="120" spans="1:11" ht="15" customHeight="1" x14ac:dyDescent="0.35">
      <c r="A120" s="1459" t="s">
        <v>21</v>
      </c>
      <c r="B120" s="1460">
        <v>116</v>
      </c>
      <c r="C120" s="1460" t="s">
        <v>51</v>
      </c>
      <c r="D120" s="1461">
        <v>87.7</v>
      </c>
      <c r="E120" s="1462">
        <f t="shared" si="5"/>
        <v>943.99402999999995</v>
      </c>
      <c r="F120" s="1460" t="s">
        <v>349</v>
      </c>
      <c r="G120" s="1460">
        <v>2</v>
      </c>
      <c r="H120" s="1460" t="s">
        <v>431</v>
      </c>
      <c r="I120" s="1460" t="s">
        <v>525</v>
      </c>
      <c r="J120" s="1460">
        <v>168</v>
      </c>
      <c r="K120" s="1460" t="s">
        <v>537</v>
      </c>
    </row>
    <row r="121" spans="1:11" x14ac:dyDescent="0.35">
      <c r="A121" s="1463"/>
      <c r="B121" s="1460">
        <v>117</v>
      </c>
      <c r="C121" s="1460" t="s">
        <v>15</v>
      </c>
      <c r="D121" s="1464">
        <v>83.1</v>
      </c>
      <c r="E121" s="1465">
        <f>SUM(D121*10.7639)</f>
        <v>894.4800899999999</v>
      </c>
      <c r="F121" s="1460" t="s">
        <v>348</v>
      </c>
      <c r="G121" s="1460">
        <v>3</v>
      </c>
      <c r="H121" s="1460" t="s">
        <v>360</v>
      </c>
      <c r="I121" s="1460" t="s">
        <v>490</v>
      </c>
      <c r="J121" s="1460">
        <v>150</v>
      </c>
      <c r="K121" s="1460" t="s">
        <v>522</v>
      </c>
    </row>
    <row r="122" spans="1:11" x14ac:dyDescent="0.35">
      <c r="A122" s="1463"/>
      <c r="B122" s="1460">
        <v>118</v>
      </c>
      <c r="C122" s="1460" t="s">
        <v>15</v>
      </c>
      <c r="D122" s="1461">
        <v>95</v>
      </c>
      <c r="E122" s="1462">
        <f t="shared" ref="E122:E133" si="6">SUM(D122*10.7639)</f>
        <v>1022.5704999999999</v>
      </c>
      <c r="F122" s="1460" t="s">
        <v>349</v>
      </c>
      <c r="G122" s="1460">
        <v>3</v>
      </c>
      <c r="H122" s="1460" t="s">
        <v>524</v>
      </c>
      <c r="I122" s="1460" t="s">
        <v>469</v>
      </c>
      <c r="J122" s="1460" t="s">
        <v>79</v>
      </c>
      <c r="K122" s="1460" t="s">
        <v>523</v>
      </c>
    </row>
    <row r="123" spans="1:11" x14ac:dyDescent="0.35">
      <c r="A123" s="1463"/>
      <c r="B123" s="1460">
        <v>119</v>
      </c>
      <c r="C123" s="1460" t="s">
        <v>15</v>
      </c>
      <c r="D123" s="1461">
        <v>95</v>
      </c>
      <c r="E123" s="1462">
        <f t="shared" si="6"/>
        <v>1022.5704999999999</v>
      </c>
      <c r="F123" s="1460" t="s">
        <v>349</v>
      </c>
      <c r="G123" s="1460">
        <v>3</v>
      </c>
      <c r="H123" s="1460" t="s">
        <v>524</v>
      </c>
      <c r="I123" s="1460" t="s">
        <v>469</v>
      </c>
      <c r="J123" s="1460" t="s">
        <v>79</v>
      </c>
      <c r="K123" s="1460" t="s">
        <v>523</v>
      </c>
    </row>
    <row r="124" spans="1:11" x14ac:dyDescent="0.35">
      <c r="A124" s="1463"/>
      <c r="B124" s="1460">
        <v>120</v>
      </c>
      <c r="C124" s="1460" t="s">
        <v>15</v>
      </c>
      <c r="D124" s="1464">
        <v>83.1</v>
      </c>
      <c r="E124" s="1465">
        <f t="shared" si="6"/>
        <v>894.4800899999999</v>
      </c>
      <c r="F124" s="1460" t="s">
        <v>348</v>
      </c>
      <c r="G124" s="1460">
        <v>3</v>
      </c>
      <c r="H124" s="1460" t="s">
        <v>360</v>
      </c>
      <c r="I124" s="1460" t="s">
        <v>490</v>
      </c>
      <c r="J124" s="1460">
        <v>170</v>
      </c>
      <c r="K124" s="1460" t="s">
        <v>522</v>
      </c>
    </row>
    <row r="125" spans="1:11" x14ac:dyDescent="0.35">
      <c r="A125" s="1463"/>
      <c r="B125" s="1460">
        <v>121</v>
      </c>
      <c r="C125" s="1460" t="s">
        <v>15</v>
      </c>
      <c r="D125" s="1461">
        <v>77.5</v>
      </c>
      <c r="E125" s="1462">
        <f t="shared" si="6"/>
        <v>834.20224999999994</v>
      </c>
      <c r="F125" s="1460" t="s">
        <v>347</v>
      </c>
      <c r="G125" s="1460">
        <v>3</v>
      </c>
      <c r="H125" s="1460" t="s">
        <v>431</v>
      </c>
      <c r="I125" s="1460" t="s">
        <v>469</v>
      </c>
      <c r="J125" s="1460" t="s">
        <v>79</v>
      </c>
      <c r="K125" s="1460" t="s">
        <v>538</v>
      </c>
    </row>
    <row r="126" spans="1:11" x14ac:dyDescent="0.35">
      <c r="A126" s="1463"/>
      <c r="B126" s="1460">
        <v>122</v>
      </c>
      <c r="C126" s="1460" t="s">
        <v>15</v>
      </c>
      <c r="D126" s="1461">
        <v>77.5</v>
      </c>
      <c r="E126" s="1462">
        <f t="shared" si="6"/>
        <v>834.20224999999994</v>
      </c>
      <c r="F126" s="1460" t="s">
        <v>347</v>
      </c>
      <c r="G126" s="1460">
        <v>3</v>
      </c>
      <c r="H126" s="1460" t="s">
        <v>431</v>
      </c>
      <c r="I126" s="1460" t="s">
        <v>469</v>
      </c>
      <c r="J126" s="1460" t="s">
        <v>79</v>
      </c>
      <c r="K126" s="1460" t="s">
        <v>538</v>
      </c>
    </row>
    <row r="127" spans="1:11" x14ac:dyDescent="0.35">
      <c r="A127" s="1463"/>
      <c r="B127" s="1460">
        <v>123</v>
      </c>
      <c r="C127" s="1460" t="s">
        <v>15</v>
      </c>
      <c r="D127" s="1461">
        <v>77.5</v>
      </c>
      <c r="E127" s="1462">
        <f t="shared" si="6"/>
        <v>834.20224999999994</v>
      </c>
      <c r="F127" s="1460" t="s">
        <v>347</v>
      </c>
      <c r="G127" s="1460">
        <v>3</v>
      </c>
      <c r="H127" s="1460" t="s">
        <v>431</v>
      </c>
      <c r="I127" s="1460" t="s">
        <v>469</v>
      </c>
      <c r="J127" s="1460" t="s">
        <v>79</v>
      </c>
      <c r="K127" s="1460" t="s">
        <v>538</v>
      </c>
    </row>
    <row r="128" spans="1:11" x14ac:dyDescent="0.35">
      <c r="A128" s="1463"/>
      <c r="B128" s="1460">
        <v>124</v>
      </c>
      <c r="C128" s="1460" t="s">
        <v>324</v>
      </c>
      <c r="D128" s="1461">
        <v>99</v>
      </c>
      <c r="E128" s="1462">
        <f t="shared" si="6"/>
        <v>1065.6261</v>
      </c>
      <c r="F128" s="1460" t="s">
        <v>349</v>
      </c>
      <c r="G128" s="1460">
        <v>2</v>
      </c>
      <c r="H128" s="1460" t="s">
        <v>431</v>
      </c>
      <c r="I128" s="1460" t="s">
        <v>469</v>
      </c>
      <c r="J128" s="1460" t="s">
        <v>79</v>
      </c>
      <c r="K128" s="1460" t="s">
        <v>538</v>
      </c>
    </row>
    <row r="129" spans="1:11" x14ac:dyDescent="0.35">
      <c r="A129" s="1463"/>
      <c r="B129" s="1460">
        <v>125</v>
      </c>
      <c r="C129" s="1460" t="s">
        <v>15</v>
      </c>
      <c r="D129" s="1461">
        <v>75.3</v>
      </c>
      <c r="E129" s="1462">
        <f t="shared" si="6"/>
        <v>810.52166999999997</v>
      </c>
      <c r="F129" s="1460" t="s">
        <v>347</v>
      </c>
      <c r="G129" s="1460">
        <v>3</v>
      </c>
      <c r="H129" s="1460" t="s">
        <v>431</v>
      </c>
      <c r="I129" s="1460" t="s">
        <v>469</v>
      </c>
      <c r="J129" s="1460" t="s">
        <v>79</v>
      </c>
      <c r="K129" s="1460" t="s">
        <v>539</v>
      </c>
    </row>
    <row r="130" spans="1:11" x14ac:dyDescent="0.35">
      <c r="A130" s="1463"/>
      <c r="B130" s="1460">
        <v>126</v>
      </c>
      <c r="C130" s="1460" t="s">
        <v>15</v>
      </c>
      <c r="D130" s="1461">
        <v>75.3</v>
      </c>
      <c r="E130" s="1462">
        <f t="shared" si="6"/>
        <v>810.52166999999997</v>
      </c>
      <c r="F130" s="1460" t="s">
        <v>347</v>
      </c>
      <c r="G130" s="1460">
        <v>3</v>
      </c>
      <c r="H130" s="1460" t="s">
        <v>431</v>
      </c>
      <c r="I130" s="1460" t="s">
        <v>469</v>
      </c>
      <c r="J130" s="1460" t="s">
        <v>79</v>
      </c>
      <c r="K130" s="1460" t="s">
        <v>539</v>
      </c>
    </row>
    <row r="131" spans="1:11" x14ac:dyDescent="0.35">
      <c r="A131" s="1463"/>
      <c r="B131" s="1460">
        <v>127</v>
      </c>
      <c r="C131" s="1460" t="s">
        <v>15</v>
      </c>
      <c r="D131" s="1461">
        <v>75.3</v>
      </c>
      <c r="E131" s="1462">
        <f t="shared" si="6"/>
        <v>810.52166999999997</v>
      </c>
      <c r="F131" s="1460" t="s">
        <v>347</v>
      </c>
      <c r="G131" s="1460">
        <v>3</v>
      </c>
      <c r="H131" s="1460" t="s">
        <v>431</v>
      </c>
      <c r="I131" s="1460" t="s">
        <v>469</v>
      </c>
      <c r="J131" s="1460" t="s">
        <v>79</v>
      </c>
      <c r="K131" s="1460" t="s">
        <v>539</v>
      </c>
    </row>
    <row r="132" spans="1:11" ht="30" x14ac:dyDescent="0.35">
      <c r="A132" s="1463"/>
      <c r="B132" s="1460">
        <v>128</v>
      </c>
      <c r="C132" s="1460" t="s">
        <v>15</v>
      </c>
      <c r="D132" s="1461">
        <v>70.599999999999994</v>
      </c>
      <c r="E132" s="1462">
        <f t="shared" si="6"/>
        <v>759.93133999999986</v>
      </c>
      <c r="F132" s="1460" t="s">
        <v>347</v>
      </c>
      <c r="G132" s="1460">
        <v>2</v>
      </c>
      <c r="H132" s="1460" t="s">
        <v>431</v>
      </c>
      <c r="I132" s="1460" t="s">
        <v>469</v>
      </c>
      <c r="J132" s="1460" t="s">
        <v>79</v>
      </c>
      <c r="K132" s="1466" t="s">
        <v>540</v>
      </c>
    </row>
    <row r="133" spans="1:11" ht="30" x14ac:dyDescent="0.35">
      <c r="A133" s="1463"/>
      <c r="B133" s="1460">
        <v>129</v>
      </c>
      <c r="C133" s="1460" t="s">
        <v>15</v>
      </c>
      <c r="D133" s="1461">
        <v>91.4</v>
      </c>
      <c r="E133" s="1462">
        <f t="shared" si="6"/>
        <v>983.82046000000003</v>
      </c>
      <c r="F133" s="1460" t="s">
        <v>352</v>
      </c>
      <c r="G133" s="1460">
        <v>3</v>
      </c>
      <c r="H133" s="1460" t="s">
        <v>431</v>
      </c>
      <c r="I133" s="1460" t="s">
        <v>525</v>
      </c>
      <c r="J133" s="1460">
        <v>113</v>
      </c>
      <c r="K133" s="1466" t="s">
        <v>541</v>
      </c>
    </row>
    <row r="134" spans="1:11" ht="30" x14ac:dyDescent="0.35">
      <c r="A134" s="1463"/>
      <c r="B134" s="1460">
        <v>130</v>
      </c>
      <c r="C134" s="1460" t="s">
        <v>15</v>
      </c>
      <c r="D134" s="1464">
        <v>108.2</v>
      </c>
      <c r="E134" s="1465">
        <f>SUM(D134*10.7639)</f>
        <v>1164.65398</v>
      </c>
      <c r="F134" s="1460" t="s">
        <v>352</v>
      </c>
      <c r="G134" s="1460">
        <v>3</v>
      </c>
      <c r="H134" s="1460" t="s">
        <v>480</v>
      </c>
      <c r="I134" s="1460" t="s">
        <v>542</v>
      </c>
      <c r="J134" s="1460">
        <v>236</v>
      </c>
      <c r="K134" s="1466" t="s">
        <v>543</v>
      </c>
    </row>
    <row r="135" spans="1:11" x14ac:dyDescent="0.35">
      <c r="A135" s="1463"/>
      <c r="B135" s="1460">
        <v>131</v>
      </c>
      <c r="C135" s="1460" t="s">
        <v>15</v>
      </c>
      <c r="D135" s="1464">
        <v>127.5</v>
      </c>
      <c r="E135" s="1465">
        <f>SUM(D135*10.7639)</f>
        <v>1372.39725</v>
      </c>
      <c r="F135" s="1460" t="s">
        <v>350</v>
      </c>
      <c r="G135" s="1460">
        <v>3</v>
      </c>
      <c r="H135" s="1460" t="s">
        <v>480</v>
      </c>
      <c r="I135" s="1460" t="s">
        <v>514</v>
      </c>
      <c r="J135" s="1460">
        <v>72</v>
      </c>
      <c r="K135" s="1460" t="s">
        <v>544</v>
      </c>
    </row>
    <row r="136" spans="1:11" x14ac:dyDescent="0.35">
      <c r="A136" s="1463"/>
      <c r="B136" s="1460">
        <v>132</v>
      </c>
      <c r="C136" s="1460" t="s">
        <v>15</v>
      </c>
      <c r="D136" s="1464">
        <v>72.599999999999994</v>
      </c>
      <c r="E136" s="1465">
        <f t="shared" ref="E136:E197" si="7">SUM(D136*10.7639)</f>
        <v>781.45913999999993</v>
      </c>
      <c r="F136" s="1460" t="s">
        <v>347</v>
      </c>
      <c r="G136" s="1460">
        <v>3</v>
      </c>
      <c r="H136" s="1460" t="s">
        <v>431</v>
      </c>
      <c r="I136" s="1460" t="s">
        <v>545</v>
      </c>
      <c r="J136" s="1460">
        <v>51</v>
      </c>
      <c r="K136" s="1466" t="s">
        <v>546</v>
      </c>
    </row>
    <row r="137" spans="1:11" ht="30" x14ac:dyDescent="0.35">
      <c r="A137" s="1463"/>
      <c r="B137" s="1460">
        <v>133</v>
      </c>
      <c r="C137" s="1460" t="s">
        <v>15</v>
      </c>
      <c r="D137" s="1461">
        <v>90</v>
      </c>
      <c r="E137" s="1462">
        <f t="shared" si="7"/>
        <v>968.75099999999998</v>
      </c>
      <c r="F137" s="1460" t="s">
        <v>348</v>
      </c>
      <c r="G137" s="1460">
        <v>3</v>
      </c>
      <c r="H137" s="1460" t="s">
        <v>524</v>
      </c>
      <c r="I137" s="1460" t="s">
        <v>547</v>
      </c>
      <c r="J137" s="1460" t="s">
        <v>79</v>
      </c>
      <c r="K137" s="1466" t="s">
        <v>548</v>
      </c>
    </row>
    <row r="138" spans="1:11" x14ac:dyDescent="0.35">
      <c r="A138" s="1463"/>
      <c r="B138" s="1460">
        <v>134</v>
      </c>
      <c r="C138" s="1460" t="s">
        <v>15</v>
      </c>
      <c r="D138" s="1461">
        <v>97.1</v>
      </c>
      <c r="E138" s="1462">
        <f t="shared" si="7"/>
        <v>1045.1746899999998</v>
      </c>
      <c r="F138" s="1460" t="s">
        <v>348</v>
      </c>
      <c r="G138" s="1460">
        <v>3</v>
      </c>
      <c r="H138" s="1460" t="s">
        <v>524</v>
      </c>
      <c r="I138" s="1460" t="s">
        <v>547</v>
      </c>
      <c r="J138" s="1460" t="s">
        <v>79</v>
      </c>
      <c r="K138" s="1460" t="s">
        <v>549</v>
      </c>
    </row>
    <row r="139" spans="1:11" x14ac:dyDescent="0.35">
      <c r="A139" s="1463"/>
      <c r="B139" s="1460">
        <v>135</v>
      </c>
      <c r="C139" s="1460" t="s">
        <v>15</v>
      </c>
      <c r="D139" s="1464">
        <v>91.3</v>
      </c>
      <c r="E139" s="1465">
        <f t="shared" si="7"/>
        <v>982.74406999999997</v>
      </c>
      <c r="F139" s="1460" t="s">
        <v>352</v>
      </c>
      <c r="G139" s="1460">
        <v>3</v>
      </c>
      <c r="H139" s="1460" t="s">
        <v>360</v>
      </c>
      <c r="I139" s="1460" t="s">
        <v>550</v>
      </c>
      <c r="J139" s="1460">
        <v>95</v>
      </c>
      <c r="K139" s="1460" t="s">
        <v>518</v>
      </c>
    </row>
    <row r="140" spans="1:11" x14ac:dyDescent="0.35">
      <c r="A140" s="1463"/>
      <c r="B140" s="1460">
        <v>136</v>
      </c>
      <c r="C140" s="1460" t="s">
        <v>324</v>
      </c>
      <c r="D140" s="1461">
        <v>88.5</v>
      </c>
      <c r="E140" s="1462">
        <f t="shared" si="7"/>
        <v>952.60514999999998</v>
      </c>
      <c r="F140" s="1460" t="s">
        <v>347</v>
      </c>
      <c r="G140" s="1460">
        <v>2</v>
      </c>
      <c r="H140" s="1460" t="s">
        <v>431</v>
      </c>
      <c r="I140" s="1460" t="s">
        <v>469</v>
      </c>
      <c r="J140" s="1460" t="s">
        <v>79</v>
      </c>
      <c r="K140" s="1460" t="s">
        <v>551</v>
      </c>
    </row>
    <row r="141" spans="1:11" x14ac:dyDescent="0.35">
      <c r="A141" s="1463"/>
      <c r="B141" s="1460">
        <v>137</v>
      </c>
      <c r="C141" s="1460" t="s">
        <v>15</v>
      </c>
      <c r="D141" s="1461">
        <v>89.9</v>
      </c>
      <c r="E141" s="1462">
        <f t="shared" si="7"/>
        <v>967.67461000000003</v>
      </c>
      <c r="F141" s="1460" t="s">
        <v>352</v>
      </c>
      <c r="G141" s="1460">
        <v>3</v>
      </c>
      <c r="H141" s="1460" t="s">
        <v>360</v>
      </c>
      <c r="I141" s="1460" t="s">
        <v>469</v>
      </c>
      <c r="J141" s="1460" t="s">
        <v>79</v>
      </c>
      <c r="K141" s="1466" t="s">
        <v>552</v>
      </c>
    </row>
    <row r="142" spans="1:11" ht="30" x14ac:dyDescent="0.35">
      <c r="A142" s="1463"/>
      <c r="B142" s="1460">
        <v>138</v>
      </c>
      <c r="C142" s="1460" t="s">
        <v>15</v>
      </c>
      <c r="D142" s="1461">
        <v>90.7</v>
      </c>
      <c r="E142" s="1462">
        <f t="shared" si="7"/>
        <v>976.28572999999994</v>
      </c>
      <c r="F142" s="1460" t="s">
        <v>347</v>
      </c>
      <c r="G142" s="1460">
        <v>4</v>
      </c>
      <c r="H142" s="1460" t="s">
        <v>524</v>
      </c>
      <c r="I142" s="1460" t="s">
        <v>553</v>
      </c>
      <c r="J142" s="1460">
        <v>222</v>
      </c>
      <c r="K142" s="1466" t="s">
        <v>554</v>
      </c>
    </row>
    <row r="143" spans="1:11" x14ac:dyDescent="0.35">
      <c r="A143" s="1463"/>
      <c r="B143" s="1460">
        <v>139</v>
      </c>
      <c r="C143" s="1460" t="s">
        <v>15</v>
      </c>
      <c r="D143" s="1461">
        <v>90.7</v>
      </c>
      <c r="E143" s="1462">
        <f t="shared" si="7"/>
        <v>976.28572999999994</v>
      </c>
      <c r="F143" s="1460" t="s">
        <v>347</v>
      </c>
      <c r="G143" s="1460">
        <v>4</v>
      </c>
      <c r="H143" s="1460" t="s">
        <v>524</v>
      </c>
      <c r="I143" s="1460" t="s">
        <v>478</v>
      </c>
      <c r="J143" s="1460">
        <v>271</v>
      </c>
      <c r="K143" s="1460" t="s">
        <v>555</v>
      </c>
    </row>
    <row r="144" spans="1:11" x14ac:dyDescent="0.35">
      <c r="A144" s="1463"/>
      <c r="B144" s="1460">
        <v>140</v>
      </c>
      <c r="C144" s="1460" t="s">
        <v>15</v>
      </c>
      <c r="D144" s="1461">
        <v>87.6</v>
      </c>
      <c r="E144" s="1462">
        <f t="shared" si="7"/>
        <v>942.91763999999989</v>
      </c>
      <c r="F144" s="1460" t="s">
        <v>347</v>
      </c>
      <c r="G144" s="1460">
        <v>3</v>
      </c>
      <c r="H144" s="1460" t="s">
        <v>524</v>
      </c>
      <c r="I144" s="1460" t="s">
        <v>478</v>
      </c>
      <c r="J144" s="1460">
        <v>237</v>
      </c>
      <c r="K144" s="1460" t="s">
        <v>556</v>
      </c>
    </row>
    <row r="145" spans="1:11" ht="30" x14ac:dyDescent="0.35">
      <c r="A145" s="1463"/>
      <c r="B145" s="1460">
        <v>141</v>
      </c>
      <c r="C145" s="1460" t="s">
        <v>15</v>
      </c>
      <c r="D145" s="1461">
        <v>97.3</v>
      </c>
      <c r="E145" s="1462">
        <f t="shared" si="7"/>
        <v>1047.3274699999999</v>
      </c>
      <c r="F145" s="1460" t="s">
        <v>348</v>
      </c>
      <c r="G145" s="1460">
        <v>3</v>
      </c>
      <c r="H145" s="1460" t="s">
        <v>524</v>
      </c>
      <c r="I145" s="1460" t="s">
        <v>547</v>
      </c>
      <c r="J145" s="1460" t="s">
        <v>79</v>
      </c>
      <c r="K145" s="1466" t="s">
        <v>557</v>
      </c>
    </row>
    <row r="146" spans="1:11" ht="30" x14ac:dyDescent="0.35">
      <c r="A146" s="1467"/>
      <c r="B146" s="1460">
        <v>142</v>
      </c>
      <c r="C146" s="1460" t="s">
        <v>15</v>
      </c>
      <c r="D146" s="1461">
        <v>89</v>
      </c>
      <c r="E146" s="1462">
        <f t="shared" si="7"/>
        <v>957.98709999999994</v>
      </c>
      <c r="F146" s="1460" t="s">
        <v>349</v>
      </c>
      <c r="G146" s="1460">
        <v>3</v>
      </c>
      <c r="H146" s="1460" t="s">
        <v>431</v>
      </c>
      <c r="I146" s="1460" t="s">
        <v>469</v>
      </c>
      <c r="J146" s="1460" t="s">
        <v>79</v>
      </c>
      <c r="K146" s="1466" t="s">
        <v>558</v>
      </c>
    </row>
    <row r="147" spans="1:11" ht="15" customHeight="1" x14ac:dyDescent="0.35">
      <c r="A147" s="1468" t="s">
        <v>25</v>
      </c>
      <c r="B147" s="1469">
        <v>143</v>
      </c>
      <c r="C147" s="1469" t="s">
        <v>346</v>
      </c>
      <c r="D147" s="1470">
        <v>38.200000000000003</v>
      </c>
      <c r="E147" s="1471">
        <f t="shared" si="7"/>
        <v>411.18098000000003</v>
      </c>
      <c r="F147" s="1469" t="s">
        <v>351</v>
      </c>
      <c r="G147" s="1469">
        <v>1</v>
      </c>
      <c r="H147" s="1469" t="s">
        <v>431</v>
      </c>
      <c r="I147" s="1469" t="s">
        <v>559</v>
      </c>
      <c r="J147" s="1469" t="s">
        <v>79</v>
      </c>
      <c r="K147" s="1469" t="s">
        <v>560</v>
      </c>
    </row>
    <row r="148" spans="1:11" x14ac:dyDescent="0.35">
      <c r="A148" s="1472"/>
      <c r="B148" s="1469">
        <v>144</v>
      </c>
      <c r="C148" s="1469" t="s">
        <v>17</v>
      </c>
      <c r="D148" s="1473">
        <v>52.1</v>
      </c>
      <c r="E148" s="1474">
        <f t="shared" si="7"/>
        <v>560.79918999999995</v>
      </c>
      <c r="F148" s="1469" t="s">
        <v>351</v>
      </c>
      <c r="G148" s="1469">
        <v>1</v>
      </c>
      <c r="H148" s="1469" t="s">
        <v>431</v>
      </c>
      <c r="I148" s="1469" t="s">
        <v>559</v>
      </c>
      <c r="J148" s="1469" t="s">
        <v>79</v>
      </c>
      <c r="K148" s="1469" t="s">
        <v>560</v>
      </c>
    </row>
    <row r="149" spans="1:11" x14ac:dyDescent="0.35">
      <c r="A149" s="1472"/>
      <c r="B149" s="1469">
        <v>145</v>
      </c>
      <c r="C149" s="1469" t="s">
        <v>17</v>
      </c>
      <c r="D149" s="1473">
        <v>38.200000000000003</v>
      </c>
      <c r="E149" s="1474">
        <f t="shared" si="7"/>
        <v>411.18098000000003</v>
      </c>
      <c r="F149" s="1469" t="s">
        <v>351</v>
      </c>
      <c r="G149" s="1475">
        <v>1</v>
      </c>
      <c r="H149" s="1469" t="s">
        <v>431</v>
      </c>
      <c r="I149" s="1469" t="s">
        <v>561</v>
      </c>
      <c r="J149" s="1469">
        <v>155</v>
      </c>
      <c r="K149" s="1469" t="s">
        <v>560</v>
      </c>
    </row>
    <row r="150" spans="1:11" x14ac:dyDescent="0.35">
      <c r="A150" s="1472"/>
      <c r="B150" s="1469">
        <v>146</v>
      </c>
      <c r="C150" s="1469" t="s">
        <v>17</v>
      </c>
      <c r="D150" s="1473">
        <v>52.1</v>
      </c>
      <c r="E150" s="1474">
        <f t="shared" si="7"/>
        <v>560.79918999999995</v>
      </c>
      <c r="F150" s="1469" t="s">
        <v>351</v>
      </c>
      <c r="G150" s="1469">
        <v>1</v>
      </c>
      <c r="H150" s="1469" t="s">
        <v>431</v>
      </c>
      <c r="I150" s="1469" t="s">
        <v>559</v>
      </c>
      <c r="J150" s="1469" t="s">
        <v>79</v>
      </c>
      <c r="K150" s="1469" t="s">
        <v>560</v>
      </c>
    </row>
    <row r="151" spans="1:11" x14ac:dyDescent="0.35">
      <c r="A151" s="1472"/>
      <c r="B151" s="1469">
        <v>147</v>
      </c>
      <c r="C151" s="1469" t="s">
        <v>17</v>
      </c>
      <c r="D151" s="1473">
        <v>38.200000000000003</v>
      </c>
      <c r="E151" s="1474">
        <f t="shared" si="7"/>
        <v>411.18098000000003</v>
      </c>
      <c r="F151" s="1469" t="s">
        <v>351</v>
      </c>
      <c r="G151" s="1469">
        <v>1</v>
      </c>
      <c r="H151" s="1469" t="s">
        <v>431</v>
      </c>
      <c r="I151" s="1469" t="s">
        <v>561</v>
      </c>
      <c r="J151" s="1469">
        <v>76</v>
      </c>
      <c r="K151" s="1469" t="s">
        <v>560</v>
      </c>
    </row>
    <row r="152" spans="1:11" x14ac:dyDescent="0.35">
      <c r="A152" s="1472"/>
      <c r="B152" s="1469">
        <v>148</v>
      </c>
      <c r="C152" s="1469" t="s">
        <v>17</v>
      </c>
      <c r="D152" s="1473">
        <v>52.1</v>
      </c>
      <c r="E152" s="1474">
        <f t="shared" si="7"/>
        <v>560.79918999999995</v>
      </c>
      <c r="F152" s="1469" t="s">
        <v>351</v>
      </c>
      <c r="G152" s="1475">
        <v>1</v>
      </c>
      <c r="H152" s="1469" t="s">
        <v>431</v>
      </c>
      <c r="I152" s="1469" t="s">
        <v>559</v>
      </c>
      <c r="J152" s="1469" t="s">
        <v>79</v>
      </c>
      <c r="K152" s="1469" t="s">
        <v>560</v>
      </c>
    </row>
    <row r="153" spans="1:11" x14ac:dyDescent="0.35">
      <c r="A153" s="1472"/>
      <c r="B153" s="1469">
        <v>149</v>
      </c>
      <c r="C153" s="1469" t="s">
        <v>16</v>
      </c>
      <c r="D153" s="1473">
        <v>70</v>
      </c>
      <c r="E153" s="1474">
        <f t="shared" si="7"/>
        <v>753.47299999999996</v>
      </c>
      <c r="F153" s="1469" t="s">
        <v>347</v>
      </c>
      <c r="G153" s="1476">
        <v>2</v>
      </c>
      <c r="H153" s="1469" t="s">
        <v>431</v>
      </c>
      <c r="I153" s="1469" t="s">
        <v>559</v>
      </c>
      <c r="J153" s="1469" t="s">
        <v>79</v>
      </c>
      <c r="K153" s="1469" t="s">
        <v>562</v>
      </c>
    </row>
    <row r="154" spans="1:11" x14ac:dyDescent="0.35">
      <c r="A154" s="1472"/>
      <c r="B154" s="1469">
        <v>150</v>
      </c>
      <c r="C154" s="1469" t="s">
        <v>17</v>
      </c>
      <c r="D154" s="1473">
        <v>38.200000000000003</v>
      </c>
      <c r="E154" s="1474">
        <f t="shared" si="7"/>
        <v>411.18098000000003</v>
      </c>
      <c r="F154" s="1469" t="s">
        <v>351</v>
      </c>
      <c r="G154" s="1476">
        <v>1</v>
      </c>
      <c r="H154" s="1469" t="s">
        <v>431</v>
      </c>
      <c r="I154" s="1469" t="s">
        <v>561</v>
      </c>
      <c r="J154" s="1469">
        <v>76</v>
      </c>
      <c r="K154" s="1469" t="s">
        <v>560</v>
      </c>
    </row>
    <row r="155" spans="1:11" x14ac:dyDescent="0.35">
      <c r="A155" s="1472"/>
      <c r="B155" s="1469">
        <v>151</v>
      </c>
      <c r="C155" s="1469" t="s">
        <v>17</v>
      </c>
      <c r="D155" s="1473">
        <v>52.1</v>
      </c>
      <c r="E155" s="1474">
        <f t="shared" si="7"/>
        <v>560.79918999999995</v>
      </c>
      <c r="F155" s="1469" t="s">
        <v>351</v>
      </c>
      <c r="G155" s="1469">
        <v>1</v>
      </c>
      <c r="H155" s="1469" t="s">
        <v>431</v>
      </c>
      <c r="I155" s="1469" t="s">
        <v>559</v>
      </c>
      <c r="J155" s="1469" t="s">
        <v>79</v>
      </c>
      <c r="K155" s="1469" t="s">
        <v>560</v>
      </c>
    </row>
    <row r="156" spans="1:11" x14ac:dyDescent="0.35">
      <c r="A156" s="1472"/>
      <c r="B156" s="1469">
        <v>152</v>
      </c>
      <c r="C156" s="1469" t="s">
        <v>17</v>
      </c>
      <c r="D156" s="1473">
        <v>38.200000000000003</v>
      </c>
      <c r="E156" s="1474">
        <f t="shared" si="7"/>
        <v>411.18098000000003</v>
      </c>
      <c r="F156" s="1469" t="s">
        <v>351</v>
      </c>
      <c r="G156" s="1475">
        <v>1</v>
      </c>
      <c r="H156" s="1469" t="s">
        <v>431</v>
      </c>
      <c r="I156" s="1469" t="s">
        <v>561</v>
      </c>
      <c r="J156" s="1469">
        <v>76</v>
      </c>
      <c r="K156" s="1469" t="s">
        <v>560</v>
      </c>
    </row>
    <row r="157" spans="1:11" x14ac:dyDescent="0.35">
      <c r="A157" s="1472"/>
      <c r="B157" s="1469">
        <v>153</v>
      </c>
      <c r="C157" s="1469" t="s">
        <v>17</v>
      </c>
      <c r="D157" s="1473">
        <v>49.8</v>
      </c>
      <c r="E157" s="1474">
        <f t="shared" si="7"/>
        <v>536.04221999999993</v>
      </c>
      <c r="F157" s="1469" t="s">
        <v>351</v>
      </c>
      <c r="G157" s="1476">
        <v>1</v>
      </c>
      <c r="H157" s="1469" t="s">
        <v>431</v>
      </c>
      <c r="I157" s="1469" t="s">
        <v>559</v>
      </c>
      <c r="J157" s="1469" t="s">
        <v>79</v>
      </c>
      <c r="K157" s="1469" t="s">
        <v>560</v>
      </c>
    </row>
    <row r="158" spans="1:11" x14ac:dyDescent="0.35">
      <c r="A158" s="1472"/>
      <c r="B158" s="1469">
        <v>154</v>
      </c>
      <c r="C158" s="1469" t="s">
        <v>17</v>
      </c>
      <c r="D158" s="1473">
        <v>37.200000000000003</v>
      </c>
      <c r="E158" s="1474">
        <f t="shared" si="7"/>
        <v>400.41708</v>
      </c>
      <c r="F158" s="1469" t="s">
        <v>351</v>
      </c>
      <c r="G158" s="1476">
        <v>1</v>
      </c>
      <c r="H158" s="1469" t="s">
        <v>431</v>
      </c>
      <c r="I158" s="1469" t="s">
        <v>561</v>
      </c>
      <c r="J158" s="1469">
        <v>44</v>
      </c>
      <c r="K158" s="1469" t="s">
        <v>560</v>
      </c>
    </row>
    <row r="159" spans="1:11" x14ac:dyDescent="0.35">
      <c r="A159" s="1472"/>
      <c r="B159" s="1469">
        <v>155</v>
      </c>
      <c r="C159" s="1469" t="s">
        <v>17</v>
      </c>
      <c r="D159" s="1473">
        <v>49.8</v>
      </c>
      <c r="E159" s="1474">
        <f t="shared" si="7"/>
        <v>536.04221999999993</v>
      </c>
      <c r="F159" s="1469" t="s">
        <v>351</v>
      </c>
      <c r="G159" s="1476">
        <v>1</v>
      </c>
      <c r="H159" s="1469" t="s">
        <v>431</v>
      </c>
      <c r="I159" s="1469" t="s">
        <v>559</v>
      </c>
      <c r="J159" s="1469" t="s">
        <v>79</v>
      </c>
      <c r="K159" s="1469" t="s">
        <v>560</v>
      </c>
    </row>
    <row r="160" spans="1:11" x14ac:dyDescent="0.35">
      <c r="A160" s="1472"/>
      <c r="B160" s="1469">
        <v>156</v>
      </c>
      <c r="C160" s="1469" t="s">
        <v>51</v>
      </c>
      <c r="D160" s="1473">
        <v>70.099999999999994</v>
      </c>
      <c r="E160" s="1474">
        <f t="shared" si="7"/>
        <v>754.5493899999999</v>
      </c>
      <c r="F160" s="1469" t="s">
        <v>347</v>
      </c>
      <c r="G160" s="1469">
        <v>2</v>
      </c>
      <c r="H160" s="1469" t="s">
        <v>431</v>
      </c>
      <c r="I160" s="1469" t="s">
        <v>559</v>
      </c>
      <c r="J160" s="1469" t="s">
        <v>79</v>
      </c>
      <c r="K160" s="1469" t="s">
        <v>563</v>
      </c>
    </row>
    <row r="161" spans="1:11" x14ac:dyDescent="0.35">
      <c r="A161" s="1472"/>
      <c r="B161" s="1469">
        <v>157</v>
      </c>
      <c r="C161" s="1469" t="s">
        <v>51</v>
      </c>
      <c r="D161" s="1473">
        <v>49</v>
      </c>
      <c r="E161" s="1474">
        <f t="shared" si="7"/>
        <v>527.43110000000001</v>
      </c>
      <c r="F161" s="1469" t="s">
        <v>351</v>
      </c>
      <c r="G161" s="1469">
        <v>2</v>
      </c>
      <c r="H161" s="1469" t="s">
        <v>431</v>
      </c>
      <c r="I161" s="1469" t="s">
        <v>564</v>
      </c>
      <c r="J161" s="1469" t="s">
        <v>79</v>
      </c>
      <c r="K161" s="1476" t="s">
        <v>565</v>
      </c>
    </row>
    <row r="162" spans="1:11" x14ac:dyDescent="0.35">
      <c r="A162" s="1472"/>
      <c r="B162" s="1469">
        <v>158</v>
      </c>
      <c r="C162" s="1469" t="s">
        <v>16</v>
      </c>
      <c r="D162" s="1473">
        <v>49</v>
      </c>
      <c r="E162" s="1474">
        <f t="shared" si="7"/>
        <v>527.43110000000001</v>
      </c>
      <c r="F162" s="1469" t="s">
        <v>351</v>
      </c>
      <c r="G162" s="1469">
        <v>2</v>
      </c>
      <c r="H162" s="1469" t="s">
        <v>431</v>
      </c>
      <c r="I162" s="1469" t="s">
        <v>566</v>
      </c>
      <c r="J162" s="1469">
        <v>57</v>
      </c>
      <c r="K162" s="1477" t="s">
        <v>567</v>
      </c>
    </row>
    <row r="163" spans="1:11" x14ac:dyDescent="0.35">
      <c r="A163" s="1472"/>
      <c r="B163" s="1469">
        <v>159</v>
      </c>
      <c r="C163" s="1469" t="s">
        <v>16</v>
      </c>
      <c r="D163" s="1473">
        <v>85.2</v>
      </c>
      <c r="E163" s="1474">
        <f t="shared" si="7"/>
        <v>917.08428000000004</v>
      </c>
      <c r="F163" s="1469" t="s">
        <v>349</v>
      </c>
      <c r="G163" s="1476">
        <v>2</v>
      </c>
      <c r="H163" s="1469" t="s">
        <v>431</v>
      </c>
      <c r="I163" s="1469" t="s">
        <v>566</v>
      </c>
      <c r="J163" s="1469">
        <v>57</v>
      </c>
      <c r="K163" s="1469" t="s">
        <v>562</v>
      </c>
    </row>
    <row r="164" spans="1:11" x14ac:dyDescent="0.35">
      <c r="A164" s="1472"/>
      <c r="B164" s="1469">
        <v>160</v>
      </c>
      <c r="C164" s="1469" t="s">
        <v>51</v>
      </c>
      <c r="D164" s="1473">
        <v>83.8</v>
      </c>
      <c r="E164" s="1474">
        <f t="shared" si="7"/>
        <v>902.01481999999999</v>
      </c>
      <c r="F164" s="1469" t="s">
        <v>349</v>
      </c>
      <c r="G164" s="1476">
        <v>2</v>
      </c>
      <c r="H164" s="1469" t="s">
        <v>431</v>
      </c>
      <c r="I164" s="1469" t="s">
        <v>564</v>
      </c>
      <c r="J164" s="1469" t="s">
        <v>79</v>
      </c>
      <c r="K164" s="1469" t="s">
        <v>562</v>
      </c>
    </row>
    <row r="165" spans="1:11" x14ac:dyDescent="0.35">
      <c r="A165" s="1472"/>
      <c r="B165" s="1469">
        <v>161</v>
      </c>
      <c r="C165" s="1469" t="s">
        <v>51</v>
      </c>
      <c r="D165" s="1473">
        <v>79.599999999999994</v>
      </c>
      <c r="E165" s="1474">
        <f t="shared" si="7"/>
        <v>856.80643999999995</v>
      </c>
      <c r="F165" s="1469" t="s">
        <v>349</v>
      </c>
      <c r="G165" s="1476">
        <v>2</v>
      </c>
      <c r="H165" s="1469" t="s">
        <v>431</v>
      </c>
      <c r="I165" s="1469" t="s">
        <v>529</v>
      </c>
      <c r="J165" s="1469">
        <v>64</v>
      </c>
      <c r="K165" s="1469" t="s">
        <v>562</v>
      </c>
    </row>
    <row r="166" spans="1:11" x14ac:dyDescent="0.35">
      <c r="A166" s="1472"/>
      <c r="B166" s="1469">
        <v>162</v>
      </c>
      <c r="C166" s="1469" t="s">
        <v>17</v>
      </c>
      <c r="D166" s="1473">
        <v>79.599999999999994</v>
      </c>
      <c r="E166" s="1474">
        <f t="shared" si="7"/>
        <v>856.80643999999995</v>
      </c>
      <c r="F166" s="1469" t="s">
        <v>349</v>
      </c>
      <c r="G166" s="1476">
        <v>2</v>
      </c>
      <c r="H166" s="1469" t="s">
        <v>431</v>
      </c>
      <c r="I166" s="1469" t="s">
        <v>566</v>
      </c>
      <c r="J166" s="1469">
        <v>57</v>
      </c>
      <c r="K166" s="1469" t="s">
        <v>562</v>
      </c>
    </row>
    <row r="167" spans="1:11" x14ac:dyDescent="0.35">
      <c r="A167" s="1472"/>
      <c r="B167" s="1469">
        <v>163</v>
      </c>
      <c r="C167" s="1469" t="s">
        <v>17</v>
      </c>
      <c r="D167" s="1473">
        <v>80</v>
      </c>
      <c r="E167" s="1474">
        <f t="shared" si="7"/>
        <v>861.11199999999997</v>
      </c>
      <c r="F167" s="1469" t="s">
        <v>347</v>
      </c>
      <c r="G167" s="1476">
        <v>2</v>
      </c>
      <c r="H167" s="1469" t="s">
        <v>431</v>
      </c>
      <c r="I167" s="1469" t="s">
        <v>566</v>
      </c>
      <c r="J167" s="1469">
        <v>57</v>
      </c>
      <c r="K167" s="1469" t="s">
        <v>562</v>
      </c>
    </row>
    <row r="168" spans="1:11" ht="15" customHeight="1" x14ac:dyDescent="0.35">
      <c r="A168" s="1478" t="s">
        <v>26</v>
      </c>
      <c r="B168" s="1479">
        <v>164</v>
      </c>
      <c r="C168" s="1479" t="s">
        <v>51</v>
      </c>
      <c r="D168" s="1480">
        <v>80</v>
      </c>
      <c r="E168" s="1481">
        <f t="shared" si="7"/>
        <v>861.11199999999997</v>
      </c>
      <c r="F168" s="1479" t="s">
        <v>349</v>
      </c>
      <c r="G168" s="1479">
        <v>2</v>
      </c>
      <c r="H168" s="1479" t="s">
        <v>480</v>
      </c>
      <c r="I168" s="1479" t="s">
        <v>451</v>
      </c>
      <c r="J168" s="1479" t="s">
        <v>79</v>
      </c>
      <c r="K168" s="1479" t="s">
        <v>568</v>
      </c>
    </row>
    <row r="169" spans="1:11" x14ac:dyDescent="0.35">
      <c r="A169" s="1482"/>
      <c r="B169" s="1479">
        <v>165</v>
      </c>
      <c r="C169" s="1479" t="s">
        <v>346</v>
      </c>
      <c r="D169" s="1480">
        <v>43.2</v>
      </c>
      <c r="E169" s="1481">
        <f t="shared" si="7"/>
        <v>465.00048000000004</v>
      </c>
      <c r="F169" s="1479" t="s">
        <v>351</v>
      </c>
      <c r="G169" s="1479">
        <v>1</v>
      </c>
      <c r="H169" s="1479" t="s">
        <v>431</v>
      </c>
      <c r="I169" s="1479" t="s">
        <v>451</v>
      </c>
      <c r="J169" s="1479" t="s">
        <v>79</v>
      </c>
      <c r="K169" s="1479" t="s">
        <v>569</v>
      </c>
    </row>
    <row r="170" spans="1:11" ht="30" x14ac:dyDescent="0.35">
      <c r="A170" s="1482"/>
      <c r="B170" s="1479">
        <v>166</v>
      </c>
      <c r="C170" s="1479" t="s">
        <v>17</v>
      </c>
      <c r="D170" s="1480">
        <v>71.7</v>
      </c>
      <c r="E170" s="1481">
        <f t="shared" si="7"/>
        <v>771.77162999999996</v>
      </c>
      <c r="F170" s="1479" t="s">
        <v>349</v>
      </c>
      <c r="G170" s="1479">
        <v>1</v>
      </c>
      <c r="H170" s="1479" t="s">
        <v>480</v>
      </c>
      <c r="I170" s="1479" t="s">
        <v>570</v>
      </c>
      <c r="J170" s="1479">
        <v>76</v>
      </c>
      <c r="K170" s="1483" t="s">
        <v>571</v>
      </c>
    </row>
    <row r="171" spans="1:11" ht="30" x14ac:dyDescent="0.35">
      <c r="A171" s="1482"/>
      <c r="B171" s="1479">
        <v>167</v>
      </c>
      <c r="C171" s="1479" t="s">
        <v>17</v>
      </c>
      <c r="D171" s="1480">
        <v>52.3</v>
      </c>
      <c r="E171" s="1481">
        <f t="shared" si="7"/>
        <v>562.95196999999996</v>
      </c>
      <c r="F171" s="1479" t="s">
        <v>351</v>
      </c>
      <c r="G171" s="1479">
        <v>1</v>
      </c>
      <c r="H171" s="1479" t="s">
        <v>431</v>
      </c>
      <c r="I171" s="1479" t="s">
        <v>451</v>
      </c>
      <c r="J171" s="1479" t="s">
        <v>79</v>
      </c>
      <c r="K171" s="1483" t="s">
        <v>572</v>
      </c>
    </row>
    <row r="172" spans="1:11" x14ac:dyDescent="0.35">
      <c r="A172" s="1482"/>
      <c r="B172" s="1479">
        <v>168</v>
      </c>
      <c r="C172" s="1479" t="s">
        <v>17</v>
      </c>
      <c r="D172" s="1480">
        <v>71.7</v>
      </c>
      <c r="E172" s="1481">
        <f t="shared" si="7"/>
        <v>771.77162999999996</v>
      </c>
      <c r="F172" s="1479" t="s">
        <v>349</v>
      </c>
      <c r="G172" s="1479">
        <v>1</v>
      </c>
      <c r="H172" s="1479" t="s">
        <v>431</v>
      </c>
      <c r="I172" s="1479" t="s">
        <v>458</v>
      </c>
      <c r="J172" s="1479">
        <v>128</v>
      </c>
      <c r="K172" s="1479" t="s">
        <v>562</v>
      </c>
    </row>
    <row r="173" spans="1:11" ht="30" x14ac:dyDescent="0.35">
      <c r="A173" s="1482"/>
      <c r="B173" s="1479">
        <v>169</v>
      </c>
      <c r="C173" s="1479" t="s">
        <v>17</v>
      </c>
      <c r="D173" s="1480">
        <v>52.3</v>
      </c>
      <c r="E173" s="1481">
        <f t="shared" si="7"/>
        <v>562.95196999999996</v>
      </c>
      <c r="F173" s="1479" t="s">
        <v>351</v>
      </c>
      <c r="G173" s="1479">
        <v>1</v>
      </c>
      <c r="H173" s="1479" t="s">
        <v>431</v>
      </c>
      <c r="I173" s="1479" t="s">
        <v>451</v>
      </c>
      <c r="J173" s="1479" t="s">
        <v>79</v>
      </c>
      <c r="K173" s="1483" t="s">
        <v>572</v>
      </c>
    </row>
    <row r="174" spans="1:11" x14ac:dyDescent="0.35">
      <c r="A174" s="1482"/>
      <c r="B174" s="1479">
        <v>170</v>
      </c>
      <c r="C174" s="1479" t="s">
        <v>17</v>
      </c>
      <c r="D174" s="1480">
        <v>71.7</v>
      </c>
      <c r="E174" s="1481">
        <f t="shared" si="7"/>
        <v>771.77162999999996</v>
      </c>
      <c r="F174" s="1479" t="s">
        <v>349</v>
      </c>
      <c r="G174" s="1479">
        <v>1</v>
      </c>
      <c r="H174" s="1479" t="s">
        <v>431</v>
      </c>
      <c r="I174" s="1479" t="s">
        <v>458</v>
      </c>
      <c r="J174" s="1479">
        <v>76</v>
      </c>
      <c r="K174" s="1479" t="s">
        <v>562</v>
      </c>
    </row>
    <row r="175" spans="1:11" ht="30" x14ac:dyDescent="0.35">
      <c r="A175" s="1482"/>
      <c r="B175" s="1479">
        <v>171</v>
      </c>
      <c r="C175" s="1479" t="s">
        <v>17</v>
      </c>
      <c r="D175" s="1480">
        <v>52.3</v>
      </c>
      <c r="E175" s="1481">
        <f t="shared" si="7"/>
        <v>562.95196999999996</v>
      </c>
      <c r="F175" s="1479" t="s">
        <v>351</v>
      </c>
      <c r="G175" s="1479">
        <v>1</v>
      </c>
      <c r="H175" s="1479" t="s">
        <v>431</v>
      </c>
      <c r="I175" s="1479" t="s">
        <v>451</v>
      </c>
      <c r="J175" s="1479" t="s">
        <v>79</v>
      </c>
      <c r="K175" s="1483" t="s">
        <v>572</v>
      </c>
    </row>
    <row r="176" spans="1:11" x14ac:dyDescent="0.35">
      <c r="A176" s="1482"/>
      <c r="B176" s="1479">
        <v>172</v>
      </c>
      <c r="C176" s="1479" t="s">
        <v>17</v>
      </c>
      <c r="D176" s="1480">
        <v>71.7</v>
      </c>
      <c r="E176" s="1481">
        <f t="shared" si="7"/>
        <v>771.77162999999996</v>
      </c>
      <c r="F176" s="1479" t="s">
        <v>349</v>
      </c>
      <c r="G176" s="1479">
        <v>1</v>
      </c>
      <c r="H176" s="1479" t="s">
        <v>431</v>
      </c>
      <c r="I176" s="1479" t="s">
        <v>458</v>
      </c>
      <c r="J176" s="1479">
        <v>76</v>
      </c>
      <c r="K176" s="1479" t="s">
        <v>562</v>
      </c>
    </row>
    <row r="177" spans="1:11" ht="30" x14ac:dyDescent="0.35">
      <c r="A177" s="1482"/>
      <c r="B177" s="1479">
        <v>173</v>
      </c>
      <c r="C177" s="1479" t="s">
        <v>17</v>
      </c>
      <c r="D177" s="1480">
        <v>71.7</v>
      </c>
      <c r="E177" s="1481">
        <f t="shared" si="7"/>
        <v>771.77162999999996</v>
      </c>
      <c r="F177" s="1479" t="s">
        <v>349</v>
      </c>
      <c r="G177" s="1479">
        <v>1</v>
      </c>
      <c r="H177" s="1479" t="s">
        <v>431</v>
      </c>
      <c r="I177" s="1479" t="s">
        <v>458</v>
      </c>
      <c r="J177" s="1479">
        <v>76</v>
      </c>
      <c r="K177" s="1483" t="s">
        <v>573</v>
      </c>
    </row>
    <row r="178" spans="1:11" ht="30" x14ac:dyDescent="0.35">
      <c r="A178" s="1482"/>
      <c r="B178" s="1479">
        <v>174</v>
      </c>
      <c r="C178" s="1479" t="s">
        <v>346</v>
      </c>
      <c r="D178" s="1480">
        <v>54.3</v>
      </c>
      <c r="E178" s="1481">
        <f t="shared" si="7"/>
        <v>584.47976999999992</v>
      </c>
      <c r="F178" s="1479" t="s">
        <v>351</v>
      </c>
      <c r="G178" s="1479">
        <v>1</v>
      </c>
      <c r="H178" s="1479" t="s">
        <v>431</v>
      </c>
      <c r="I178" s="1479" t="s">
        <v>435</v>
      </c>
      <c r="J178" s="1479">
        <v>83</v>
      </c>
      <c r="K178" s="1483" t="s">
        <v>572</v>
      </c>
    </row>
    <row r="179" spans="1:11" x14ac:dyDescent="0.35">
      <c r="A179" s="1482"/>
      <c r="B179" s="1479">
        <v>175</v>
      </c>
      <c r="C179" s="1479" t="s">
        <v>17</v>
      </c>
      <c r="D179" s="1480">
        <v>54.3</v>
      </c>
      <c r="E179" s="1481">
        <f t="shared" si="7"/>
        <v>584.47976999999992</v>
      </c>
      <c r="F179" s="1479" t="s">
        <v>351</v>
      </c>
      <c r="G179" s="1479">
        <v>1</v>
      </c>
      <c r="H179" s="1479" t="s">
        <v>431</v>
      </c>
      <c r="I179" s="1479" t="s">
        <v>451</v>
      </c>
      <c r="J179" s="1479" t="s">
        <v>79</v>
      </c>
      <c r="K179" s="1479" t="s">
        <v>574</v>
      </c>
    </row>
    <row r="180" spans="1:11" x14ac:dyDescent="0.35">
      <c r="A180" s="1482"/>
      <c r="B180" s="1479">
        <v>176</v>
      </c>
      <c r="C180" s="1479" t="s">
        <v>17</v>
      </c>
      <c r="D180" s="1480">
        <v>54.7</v>
      </c>
      <c r="E180" s="1481">
        <f t="shared" si="7"/>
        <v>588.78533000000004</v>
      </c>
      <c r="F180" s="1479" t="s">
        <v>351</v>
      </c>
      <c r="G180" s="1479">
        <v>1</v>
      </c>
      <c r="H180" s="1479" t="s">
        <v>431</v>
      </c>
      <c r="I180" s="1479" t="s">
        <v>458</v>
      </c>
      <c r="J180" s="1479">
        <v>107</v>
      </c>
      <c r="K180" s="1479" t="s">
        <v>565</v>
      </c>
    </row>
    <row r="181" spans="1:11" x14ac:dyDescent="0.35">
      <c r="A181" s="1482"/>
      <c r="B181" s="1479">
        <v>177</v>
      </c>
      <c r="C181" s="1479" t="s">
        <v>17</v>
      </c>
      <c r="D181" s="1480">
        <v>54.3</v>
      </c>
      <c r="E181" s="1481">
        <f t="shared" si="7"/>
        <v>584.47976999999992</v>
      </c>
      <c r="F181" s="1479" t="s">
        <v>351</v>
      </c>
      <c r="G181" s="1479">
        <v>1</v>
      </c>
      <c r="H181" s="1479" t="s">
        <v>431</v>
      </c>
      <c r="I181" s="1479" t="s">
        <v>451</v>
      </c>
      <c r="J181" s="1479" t="s">
        <v>79</v>
      </c>
      <c r="K181" s="1479" t="s">
        <v>575</v>
      </c>
    </row>
    <row r="182" spans="1:11" x14ac:dyDescent="0.35">
      <c r="A182" s="1482"/>
      <c r="B182" s="1479">
        <v>178</v>
      </c>
      <c r="C182" s="1479" t="s">
        <v>17</v>
      </c>
      <c r="D182" s="1480">
        <v>54.7</v>
      </c>
      <c r="E182" s="1481">
        <f t="shared" si="7"/>
        <v>588.78533000000004</v>
      </c>
      <c r="F182" s="1479" t="s">
        <v>351</v>
      </c>
      <c r="G182" s="1479">
        <v>1</v>
      </c>
      <c r="H182" s="1479" t="s">
        <v>431</v>
      </c>
      <c r="I182" s="1479" t="s">
        <v>458</v>
      </c>
      <c r="J182" s="1479">
        <v>107</v>
      </c>
      <c r="K182" s="1479" t="s">
        <v>565</v>
      </c>
    </row>
    <row r="183" spans="1:11" x14ac:dyDescent="0.35">
      <c r="A183" s="1482"/>
      <c r="B183" s="1479">
        <v>179</v>
      </c>
      <c r="C183" s="1479" t="s">
        <v>17</v>
      </c>
      <c r="D183" s="1480">
        <v>54.3</v>
      </c>
      <c r="E183" s="1481">
        <f t="shared" si="7"/>
        <v>584.47976999999992</v>
      </c>
      <c r="F183" s="1479" t="s">
        <v>351</v>
      </c>
      <c r="G183" s="1479">
        <v>1</v>
      </c>
      <c r="H183" s="1479" t="s">
        <v>431</v>
      </c>
      <c r="I183" s="1479" t="s">
        <v>451</v>
      </c>
      <c r="J183" s="1479" t="s">
        <v>79</v>
      </c>
      <c r="K183" s="1479" t="s">
        <v>575</v>
      </c>
    </row>
    <row r="184" spans="1:11" x14ac:dyDescent="0.35">
      <c r="A184" s="1482"/>
      <c r="B184" s="1479">
        <v>180</v>
      </c>
      <c r="C184" s="1479" t="s">
        <v>17</v>
      </c>
      <c r="D184" s="1480">
        <v>54.7</v>
      </c>
      <c r="E184" s="1481">
        <f t="shared" si="7"/>
        <v>588.78533000000004</v>
      </c>
      <c r="F184" s="1479" t="s">
        <v>351</v>
      </c>
      <c r="G184" s="1479">
        <v>1</v>
      </c>
      <c r="H184" s="1479" t="s">
        <v>431</v>
      </c>
      <c r="I184" s="1479" t="s">
        <v>458</v>
      </c>
      <c r="J184" s="1479">
        <v>107</v>
      </c>
      <c r="K184" s="1479" t="s">
        <v>565</v>
      </c>
    </row>
    <row r="185" spans="1:11" x14ac:dyDescent="0.35">
      <c r="A185" s="1482"/>
      <c r="B185" s="1479">
        <v>181</v>
      </c>
      <c r="C185" s="1479" t="s">
        <v>17</v>
      </c>
      <c r="D185" s="1480">
        <v>54.7</v>
      </c>
      <c r="E185" s="1481">
        <f t="shared" si="7"/>
        <v>588.78533000000004</v>
      </c>
      <c r="F185" s="1479" t="s">
        <v>351</v>
      </c>
      <c r="G185" s="1479">
        <v>1</v>
      </c>
      <c r="H185" s="1479" t="s">
        <v>431</v>
      </c>
      <c r="I185" s="1479" t="s">
        <v>458</v>
      </c>
      <c r="J185" s="1479">
        <v>107</v>
      </c>
      <c r="K185" s="1479" t="s">
        <v>562</v>
      </c>
    </row>
    <row r="186" spans="1:11" x14ac:dyDescent="0.35">
      <c r="A186" s="1482"/>
      <c r="B186" s="1479">
        <v>182</v>
      </c>
      <c r="C186" s="1479" t="s">
        <v>346</v>
      </c>
      <c r="D186" s="1480">
        <v>54.7</v>
      </c>
      <c r="E186" s="1481">
        <f t="shared" si="7"/>
        <v>588.78533000000004</v>
      </c>
      <c r="F186" s="1479" t="s">
        <v>351</v>
      </c>
      <c r="G186" s="1479">
        <v>1</v>
      </c>
      <c r="H186" s="1479" t="s">
        <v>431</v>
      </c>
      <c r="I186" s="1479" t="s">
        <v>576</v>
      </c>
      <c r="J186" s="1479">
        <v>172</v>
      </c>
      <c r="K186" s="1479" t="s">
        <v>575</v>
      </c>
    </row>
    <row r="187" spans="1:11" x14ac:dyDescent="0.35">
      <c r="A187" s="1482"/>
      <c r="B187" s="1479">
        <v>183</v>
      </c>
      <c r="C187" s="1479" t="s">
        <v>51</v>
      </c>
      <c r="D187" s="1480">
        <v>93.1</v>
      </c>
      <c r="E187" s="1481">
        <f t="shared" si="7"/>
        <v>1002.1190899999999</v>
      </c>
      <c r="F187" s="1479" t="s">
        <v>348</v>
      </c>
      <c r="G187" s="1484">
        <v>2</v>
      </c>
      <c r="H187" s="1479" t="s">
        <v>480</v>
      </c>
      <c r="I187" s="1479" t="s">
        <v>451</v>
      </c>
      <c r="J187" s="1479" t="s">
        <v>79</v>
      </c>
      <c r="K187" s="1479" t="s">
        <v>575</v>
      </c>
    </row>
    <row r="188" spans="1:11" x14ac:dyDescent="0.35">
      <c r="A188" s="1482"/>
      <c r="B188" s="1479">
        <v>184</v>
      </c>
      <c r="C188" s="1479" t="s">
        <v>17</v>
      </c>
      <c r="D188" s="1480">
        <v>49.9</v>
      </c>
      <c r="E188" s="1481">
        <f t="shared" si="7"/>
        <v>537.11860999999999</v>
      </c>
      <c r="F188" s="1479" t="s">
        <v>351</v>
      </c>
      <c r="G188" s="1479">
        <v>1</v>
      </c>
      <c r="H188" s="1479" t="s">
        <v>431</v>
      </c>
      <c r="I188" s="1479" t="s">
        <v>451</v>
      </c>
      <c r="J188" s="1479" t="s">
        <v>79</v>
      </c>
      <c r="K188" s="1479" t="s">
        <v>562</v>
      </c>
    </row>
    <row r="189" spans="1:11" x14ac:dyDescent="0.35">
      <c r="A189" s="1482"/>
      <c r="B189" s="1479">
        <v>185</v>
      </c>
      <c r="C189" s="1479" t="s">
        <v>17</v>
      </c>
      <c r="D189" s="1480">
        <v>51.7</v>
      </c>
      <c r="E189" s="1481">
        <f t="shared" si="7"/>
        <v>556.49363000000005</v>
      </c>
      <c r="F189" s="1479" t="s">
        <v>351</v>
      </c>
      <c r="G189" s="1479">
        <v>1</v>
      </c>
      <c r="H189" s="1479" t="s">
        <v>431</v>
      </c>
      <c r="I189" s="1479" t="s">
        <v>451</v>
      </c>
      <c r="J189" s="1479" t="s">
        <v>79</v>
      </c>
      <c r="K189" s="1479" t="s">
        <v>565</v>
      </c>
    </row>
    <row r="190" spans="1:11" x14ac:dyDescent="0.35">
      <c r="A190" s="1482"/>
      <c r="B190" s="1479">
        <v>186</v>
      </c>
      <c r="C190" s="1479" t="s">
        <v>17</v>
      </c>
      <c r="D190" s="1480">
        <v>50.2</v>
      </c>
      <c r="E190" s="1481">
        <f t="shared" si="7"/>
        <v>540.34778000000006</v>
      </c>
      <c r="F190" s="1479" t="s">
        <v>351</v>
      </c>
      <c r="G190" s="1479">
        <v>1</v>
      </c>
      <c r="H190" s="1479" t="s">
        <v>431</v>
      </c>
      <c r="I190" s="1479" t="s">
        <v>451</v>
      </c>
      <c r="J190" s="1479" t="s">
        <v>79</v>
      </c>
      <c r="K190" s="1483" t="s">
        <v>577</v>
      </c>
    </row>
    <row r="191" spans="1:11" x14ac:dyDescent="0.35">
      <c r="A191" s="1482"/>
      <c r="B191" s="1479">
        <v>187</v>
      </c>
      <c r="C191" s="1479" t="s">
        <v>17</v>
      </c>
      <c r="D191" s="1480">
        <v>53.6</v>
      </c>
      <c r="E191" s="1481">
        <f t="shared" si="7"/>
        <v>576.94503999999995</v>
      </c>
      <c r="F191" s="1479" t="s">
        <v>351</v>
      </c>
      <c r="G191" s="1479">
        <v>1</v>
      </c>
      <c r="H191" s="1479" t="s">
        <v>431</v>
      </c>
      <c r="I191" s="1479" t="s">
        <v>458</v>
      </c>
      <c r="J191" s="1479">
        <v>121</v>
      </c>
      <c r="K191" s="1479" t="s">
        <v>578</v>
      </c>
    </row>
    <row r="192" spans="1:11" x14ac:dyDescent="0.35">
      <c r="A192" s="1482"/>
      <c r="B192" s="1479">
        <v>188</v>
      </c>
      <c r="C192" s="1479" t="s">
        <v>17</v>
      </c>
      <c r="D192" s="1480">
        <v>50.1</v>
      </c>
      <c r="E192" s="1481">
        <f t="shared" si="7"/>
        <v>539.27139</v>
      </c>
      <c r="F192" s="1479" t="s">
        <v>351</v>
      </c>
      <c r="G192" s="1479">
        <v>1</v>
      </c>
      <c r="H192" s="1479" t="s">
        <v>431</v>
      </c>
      <c r="I192" s="1479" t="s">
        <v>451</v>
      </c>
      <c r="J192" s="1479" t="s">
        <v>79</v>
      </c>
      <c r="K192" s="1479" t="s">
        <v>578</v>
      </c>
    </row>
    <row r="193" spans="1:11" x14ac:dyDescent="0.35">
      <c r="A193" s="1482"/>
      <c r="B193" s="1479">
        <v>189</v>
      </c>
      <c r="C193" s="1479" t="s">
        <v>17</v>
      </c>
      <c r="D193" s="1480">
        <v>40.5</v>
      </c>
      <c r="E193" s="1481">
        <f t="shared" si="7"/>
        <v>435.93795</v>
      </c>
      <c r="F193" s="1479" t="s">
        <v>351</v>
      </c>
      <c r="G193" s="1479">
        <v>1</v>
      </c>
      <c r="H193" s="1479" t="s">
        <v>431</v>
      </c>
      <c r="I193" s="1479" t="s">
        <v>451</v>
      </c>
      <c r="J193" s="1479" t="s">
        <v>79</v>
      </c>
      <c r="K193" s="1479" t="s">
        <v>579</v>
      </c>
    </row>
    <row r="194" spans="1:11" x14ac:dyDescent="0.35">
      <c r="A194" s="1482"/>
      <c r="B194" s="1479">
        <v>190</v>
      </c>
      <c r="C194" s="1479" t="s">
        <v>17</v>
      </c>
      <c r="D194" s="1480">
        <v>40.5</v>
      </c>
      <c r="E194" s="1481">
        <f t="shared" si="7"/>
        <v>435.93795</v>
      </c>
      <c r="F194" s="1479" t="s">
        <v>351</v>
      </c>
      <c r="G194" s="1479">
        <v>1</v>
      </c>
      <c r="H194" s="1479" t="s">
        <v>431</v>
      </c>
      <c r="I194" s="1479" t="s">
        <v>451</v>
      </c>
      <c r="J194" s="1479" t="s">
        <v>79</v>
      </c>
      <c r="K194" s="1479" t="s">
        <v>580</v>
      </c>
    </row>
    <row r="195" spans="1:11" x14ac:dyDescent="0.35">
      <c r="A195" s="1482"/>
      <c r="B195" s="1479">
        <v>191</v>
      </c>
      <c r="C195" s="1479" t="s">
        <v>17</v>
      </c>
      <c r="D195" s="1480">
        <v>40.5</v>
      </c>
      <c r="E195" s="1481">
        <f t="shared" si="7"/>
        <v>435.93795</v>
      </c>
      <c r="F195" s="1479" t="s">
        <v>351</v>
      </c>
      <c r="G195" s="1479">
        <v>1</v>
      </c>
      <c r="H195" s="1479" t="s">
        <v>431</v>
      </c>
      <c r="I195" s="1479" t="s">
        <v>451</v>
      </c>
      <c r="J195" s="1479" t="s">
        <v>79</v>
      </c>
      <c r="K195" s="1479" t="s">
        <v>580</v>
      </c>
    </row>
    <row r="196" spans="1:11" x14ac:dyDescent="0.35">
      <c r="A196" s="1482"/>
      <c r="B196" s="1479">
        <v>192</v>
      </c>
      <c r="C196" s="1479" t="s">
        <v>17</v>
      </c>
      <c r="D196" s="1480">
        <v>40.5</v>
      </c>
      <c r="E196" s="1481">
        <f t="shared" si="7"/>
        <v>435.93795</v>
      </c>
      <c r="F196" s="1479" t="s">
        <v>351</v>
      </c>
      <c r="G196" s="1479">
        <v>1</v>
      </c>
      <c r="H196" s="1479" t="s">
        <v>431</v>
      </c>
      <c r="I196" s="1479" t="s">
        <v>451</v>
      </c>
      <c r="J196" s="1479" t="s">
        <v>79</v>
      </c>
      <c r="K196" s="1479" t="s">
        <v>580</v>
      </c>
    </row>
    <row r="197" spans="1:11" x14ac:dyDescent="0.35">
      <c r="A197" s="1482"/>
      <c r="B197" s="1479">
        <v>193</v>
      </c>
      <c r="C197" s="1479" t="s">
        <v>17</v>
      </c>
      <c r="D197" s="1480">
        <v>40.5</v>
      </c>
      <c r="E197" s="1481">
        <f t="shared" si="7"/>
        <v>435.93795</v>
      </c>
      <c r="F197" s="1479" t="s">
        <v>351</v>
      </c>
      <c r="G197" s="1479">
        <v>1</v>
      </c>
      <c r="H197" s="1479" t="s">
        <v>431</v>
      </c>
      <c r="I197" s="1479" t="s">
        <v>451</v>
      </c>
      <c r="J197" s="1479" t="s">
        <v>79</v>
      </c>
      <c r="K197" s="1479" t="s">
        <v>580</v>
      </c>
    </row>
    <row r="198" spans="1:11" ht="30" x14ac:dyDescent="0.35">
      <c r="A198" s="1482"/>
      <c r="B198" s="1479">
        <v>194</v>
      </c>
      <c r="C198" s="1479" t="s">
        <v>17</v>
      </c>
      <c r="D198" s="1480">
        <v>73.5</v>
      </c>
      <c r="E198" s="1481">
        <f>SUM(D198*10.7639)</f>
        <v>791.14665000000002</v>
      </c>
      <c r="F198" s="1479" t="s">
        <v>351</v>
      </c>
      <c r="G198" s="1479">
        <v>1</v>
      </c>
      <c r="H198" s="1479" t="s">
        <v>431</v>
      </c>
      <c r="I198" s="1479" t="s">
        <v>451</v>
      </c>
      <c r="J198" s="1479" t="s">
        <v>79</v>
      </c>
      <c r="K198" s="1483" t="s">
        <v>581</v>
      </c>
    </row>
    <row r="199" spans="1:11" x14ac:dyDescent="0.35">
      <c r="A199" s="1482"/>
      <c r="B199" s="1479">
        <v>195</v>
      </c>
      <c r="C199" s="1479" t="s">
        <v>17</v>
      </c>
      <c r="D199" s="1480">
        <v>49.9</v>
      </c>
      <c r="E199" s="1481">
        <f t="shared" ref="E199:E262" si="8">SUM(D199*10.7639)</f>
        <v>537.11860999999999</v>
      </c>
      <c r="F199" s="1479" t="s">
        <v>351</v>
      </c>
      <c r="G199" s="1479">
        <v>1</v>
      </c>
      <c r="H199" s="1479" t="s">
        <v>431</v>
      </c>
      <c r="I199" s="1479" t="s">
        <v>451</v>
      </c>
      <c r="J199" s="1479" t="s">
        <v>79</v>
      </c>
      <c r="K199" s="1479" t="s">
        <v>565</v>
      </c>
    </row>
    <row r="200" spans="1:11" x14ac:dyDescent="0.35">
      <c r="A200" s="1482"/>
      <c r="B200" s="1479">
        <v>196</v>
      </c>
      <c r="C200" s="1479" t="s">
        <v>17</v>
      </c>
      <c r="D200" s="1480">
        <v>51.7</v>
      </c>
      <c r="E200" s="1481">
        <f t="shared" si="8"/>
        <v>556.49363000000005</v>
      </c>
      <c r="F200" s="1479" t="s">
        <v>351</v>
      </c>
      <c r="G200" s="1479">
        <v>1</v>
      </c>
      <c r="H200" s="1479" t="s">
        <v>431</v>
      </c>
      <c r="I200" s="1479" t="s">
        <v>451</v>
      </c>
      <c r="J200" s="1479" t="s">
        <v>79</v>
      </c>
      <c r="K200" s="1483" t="s">
        <v>582</v>
      </c>
    </row>
    <row r="201" spans="1:11" x14ac:dyDescent="0.35">
      <c r="A201" s="1482"/>
      <c r="B201" s="1479">
        <v>197</v>
      </c>
      <c r="C201" s="1479" t="s">
        <v>17</v>
      </c>
      <c r="D201" s="1480">
        <v>50.2</v>
      </c>
      <c r="E201" s="1481">
        <f t="shared" si="8"/>
        <v>540.34778000000006</v>
      </c>
      <c r="F201" s="1479" t="s">
        <v>351</v>
      </c>
      <c r="G201" s="1479">
        <v>1</v>
      </c>
      <c r="H201" s="1479" t="s">
        <v>431</v>
      </c>
      <c r="I201" s="1479" t="s">
        <v>451</v>
      </c>
      <c r="J201" s="1479" t="s">
        <v>79</v>
      </c>
      <c r="K201" s="1479" t="s">
        <v>578</v>
      </c>
    </row>
    <row r="202" spans="1:11" x14ac:dyDescent="0.35">
      <c r="A202" s="1482"/>
      <c r="B202" s="1479">
        <v>198</v>
      </c>
      <c r="C202" s="1479" t="s">
        <v>17</v>
      </c>
      <c r="D202" s="1480">
        <v>53.6</v>
      </c>
      <c r="E202" s="1481">
        <f t="shared" si="8"/>
        <v>576.94503999999995</v>
      </c>
      <c r="F202" s="1479" t="s">
        <v>351</v>
      </c>
      <c r="G202" s="1479">
        <v>1</v>
      </c>
      <c r="H202" s="1479" t="s">
        <v>431</v>
      </c>
      <c r="I202" s="1479" t="s">
        <v>458</v>
      </c>
      <c r="J202" s="1479">
        <v>84</v>
      </c>
      <c r="K202" s="1479" t="s">
        <v>578</v>
      </c>
    </row>
    <row r="203" spans="1:11" x14ac:dyDescent="0.35">
      <c r="A203" s="1482"/>
      <c r="B203" s="1479">
        <v>199</v>
      </c>
      <c r="C203" s="1479" t="s">
        <v>17</v>
      </c>
      <c r="D203" s="1480">
        <v>50.1</v>
      </c>
      <c r="E203" s="1481">
        <f t="shared" si="8"/>
        <v>539.27139</v>
      </c>
      <c r="F203" s="1479" t="s">
        <v>351</v>
      </c>
      <c r="G203" s="1479">
        <v>1</v>
      </c>
      <c r="H203" s="1479" t="s">
        <v>431</v>
      </c>
      <c r="I203" s="1479" t="s">
        <v>451</v>
      </c>
      <c r="J203" s="1479" t="s">
        <v>79</v>
      </c>
      <c r="K203" s="1479" t="s">
        <v>578</v>
      </c>
    </row>
    <row r="204" spans="1:11" ht="30" x14ac:dyDescent="0.35">
      <c r="A204" s="1482"/>
      <c r="B204" s="1479">
        <v>200</v>
      </c>
      <c r="C204" s="1479" t="s">
        <v>16</v>
      </c>
      <c r="D204" s="1480">
        <v>81</v>
      </c>
      <c r="E204" s="1481">
        <f t="shared" si="8"/>
        <v>871.8759</v>
      </c>
      <c r="F204" s="1479" t="s">
        <v>347</v>
      </c>
      <c r="G204" s="1484">
        <v>2</v>
      </c>
      <c r="H204" s="1479" t="s">
        <v>431</v>
      </c>
      <c r="I204" s="1479" t="s">
        <v>451</v>
      </c>
      <c r="J204" s="1479" t="s">
        <v>79</v>
      </c>
      <c r="K204" s="1483" t="s">
        <v>581</v>
      </c>
    </row>
    <row r="205" spans="1:11" ht="30" x14ac:dyDescent="0.35">
      <c r="A205" s="1482"/>
      <c r="B205" s="1479">
        <v>201</v>
      </c>
      <c r="C205" s="1479" t="s">
        <v>16</v>
      </c>
      <c r="D205" s="1480">
        <v>87.2</v>
      </c>
      <c r="E205" s="1481">
        <f t="shared" si="8"/>
        <v>938.61207999999999</v>
      </c>
      <c r="F205" s="1479" t="s">
        <v>349</v>
      </c>
      <c r="G205" s="1479">
        <v>2</v>
      </c>
      <c r="H205" s="1479" t="s">
        <v>431</v>
      </c>
      <c r="I205" s="1479" t="s">
        <v>451</v>
      </c>
      <c r="J205" s="1479" t="s">
        <v>79</v>
      </c>
      <c r="K205" s="1483" t="s">
        <v>581</v>
      </c>
    </row>
    <row r="206" spans="1:11" ht="30" x14ac:dyDescent="0.35">
      <c r="A206" s="1482"/>
      <c r="B206" s="1479">
        <v>202</v>
      </c>
      <c r="C206" s="1479" t="s">
        <v>16</v>
      </c>
      <c r="D206" s="1480">
        <v>81</v>
      </c>
      <c r="E206" s="1481">
        <f t="shared" si="8"/>
        <v>871.8759</v>
      </c>
      <c r="F206" s="1479" t="s">
        <v>347</v>
      </c>
      <c r="G206" s="1485">
        <v>2</v>
      </c>
      <c r="H206" s="1479" t="s">
        <v>431</v>
      </c>
      <c r="I206" s="1479" t="s">
        <v>451</v>
      </c>
      <c r="J206" s="1479" t="s">
        <v>79</v>
      </c>
      <c r="K206" s="1483" t="s">
        <v>581</v>
      </c>
    </row>
    <row r="207" spans="1:11" ht="30" x14ac:dyDescent="0.35">
      <c r="A207" s="1482"/>
      <c r="B207" s="1479">
        <v>203</v>
      </c>
      <c r="C207" s="1479" t="s">
        <v>16</v>
      </c>
      <c r="D207" s="1480">
        <v>81</v>
      </c>
      <c r="E207" s="1481">
        <f t="shared" si="8"/>
        <v>871.8759</v>
      </c>
      <c r="F207" s="1479" t="s">
        <v>347</v>
      </c>
      <c r="G207" s="1485">
        <v>2</v>
      </c>
      <c r="H207" s="1479" t="s">
        <v>431</v>
      </c>
      <c r="I207" s="1479" t="s">
        <v>451</v>
      </c>
      <c r="J207" s="1479" t="s">
        <v>79</v>
      </c>
      <c r="K207" s="1483" t="s">
        <v>581</v>
      </c>
    </row>
    <row r="208" spans="1:11" ht="30" x14ac:dyDescent="0.35">
      <c r="A208" s="1482"/>
      <c r="B208" s="1479">
        <v>204</v>
      </c>
      <c r="C208" s="1479" t="s">
        <v>16</v>
      </c>
      <c r="D208" s="1480">
        <v>81</v>
      </c>
      <c r="E208" s="1481">
        <f t="shared" si="8"/>
        <v>871.8759</v>
      </c>
      <c r="F208" s="1479" t="s">
        <v>347</v>
      </c>
      <c r="G208" s="1479">
        <v>2</v>
      </c>
      <c r="H208" s="1479" t="s">
        <v>431</v>
      </c>
      <c r="I208" s="1479" t="s">
        <v>451</v>
      </c>
      <c r="J208" s="1479" t="s">
        <v>79</v>
      </c>
      <c r="K208" s="1483" t="s">
        <v>581</v>
      </c>
    </row>
    <row r="209" spans="1:11" x14ac:dyDescent="0.35">
      <c r="A209" s="1482"/>
      <c r="B209" s="1479">
        <v>205</v>
      </c>
      <c r="C209" s="1479" t="s">
        <v>17</v>
      </c>
      <c r="D209" s="1480">
        <v>49.9</v>
      </c>
      <c r="E209" s="1481">
        <f t="shared" si="8"/>
        <v>537.11860999999999</v>
      </c>
      <c r="F209" s="1479" t="s">
        <v>351</v>
      </c>
      <c r="G209" s="1479">
        <v>1</v>
      </c>
      <c r="H209" s="1479" t="s">
        <v>431</v>
      </c>
      <c r="I209" s="1479" t="s">
        <v>451</v>
      </c>
      <c r="J209" s="1479" t="s">
        <v>79</v>
      </c>
      <c r="K209" s="1479" t="s">
        <v>565</v>
      </c>
    </row>
    <row r="210" spans="1:11" x14ac:dyDescent="0.35">
      <c r="A210" s="1482"/>
      <c r="B210" s="1479">
        <v>206</v>
      </c>
      <c r="C210" s="1479" t="s">
        <v>17</v>
      </c>
      <c r="D210" s="1480">
        <v>51.7</v>
      </c>
      <c r="E210" s="1481">
        <f t="shared" si="8"/>
        <v>556.49363000000005</v>
      </c>
      <c r="F210" s="1479" t="s">
        <v>351</v>
      </c>
      <c r="G210" s="1479">
        <v>1</v>
      </c>
      <c r="H210" s="1479" t="s">
        <v>431</v>
      </c>
      <c r="I210" s="1479" t="s">
        <v>451</v>
      </c>
      <c r="J210" s="1479" t="s">
        <v>79</v>
      </c>
      <c r="K210" s="1483" t="s">
        <v>582</v>
      </c>
    </row>
    <row r="211" spans="1:11" x14ac:dyDescent="0.35">
      <c r="A211" s="1482"/>
      <c r="B211" s="1479">
        <v>207</v>
      </c>
      <c r="C211" s="1479" t="s">
        <v>17</v>
      </c>
      <c r="D211" s="1480">
        <v>50.2</v>
      </c>
      <c r="E211" s="1481">
        <f t="shared" si="8"/>
        <v>540.34778000000006</v>
      </c>
      <c r="F211" s="1479" t="s">
        <v>351</v>
      </c>
      <c r="G211" s="1479">
        <v>1</v>
      </c>
      <c r="H211" s="1479" t="s">
        <v>431</v>
      </c>
      <c r="I211" s="1479" t="s">
        <v>451</v>
      </c>
      <c r="J211" s="1479" t="s">
        <v>79</v>
      </c>
      <c r="K211" s="1479" t="s">
        <v>578</v>
      </c>
    </row>
    <row r="212" spans="1:11" x14ac:dyDescent="0.35">
      <c r="A212" s="1482"/>
      <c r="B212" s="1479">
        <v>208</v>
      </c>
      <c r="C212" s="1479" t="s">
        <v>17</v>
      </c>
      <c r="D212" s="1480">
        <v>53.6</v>
      </c>
      <c r="E212" s="1481">
        <f t="shared" si="8"/>
        <v>576.94503999999995</v>
      </c>
      <c r="F212" s="1479" t="s">
        <v>351</v>
      </c>
      <c r="G212" s="1479">
        <v>1</v>
      </c>
      <c r="H212" s="1479" t="s">
        <v>431</v>
      </c>
      <c r="I212" s="1479" t="s">
        <v>451</v>
      </c>
      <c r="J212" s="1479" t="s">
        <v>79</v>
      </c>
      <c r="K212" s="1479" t="s">
        <v>578</v>
      </c>
    </row>
    <row r="213" spans="1:11" x14ac:dyDescent="0.35">
      <c r="A213" s="1482"/>
      <c r="B213" s="1479">
        <v>209</v>
      </c>
      <c r="C213" s="1479" t="s">
        <v>17</v>
      </c>
      <c r="D213" s="1480">
        <v>50.1</v>
      </c>
      <c r="E213" s="1481">
        <f t="shared" si="8"/>
        <v>539.27139</v>
      </c>
      <c r="F213" s="1479" t="s">
        <v>351</v>
      </c>
      <c r="G213" s="1479">
        <v>1</v>
      </c>
      <c r="H213" s="1479" t="s">
        <v>431</v>
      </c>
      <c r="I213" s="1479" t="s">
        <v>451</v>
      </c>
      <c r="J213" s="1486" t="s">
        <v>79</v>
      </c>
      <c r="K213" s="1479" t="s">
        <v>578</v>
      </c>
    </row>
    <row r="214" spans="1:11" x14ac:dyDescent="0.35">
      <c r="A214" s="1482"/>
      <c r="B214" s="1479">
        <v>210</v>
      </c>
      <c r="C214" s="1479" t="s">
        <v>17</v>
      </c>
      <c r="D214" s="1480">
        <v>49.9</v>
      </c>
      <c r="E214" s="1481">
        <f t="shared" si="8"/>
        <v>537.11860999999999</v>
      </c>
      <c r="F214" s="1479" t="s">
        <v>351</v>
      </c>
      <c r="G214" s="1479">
        <v>1</v>
      </c>
      <c r="H214" s="1479" t="s">
        <v>431</v>
      </c>
      <c r="I214" s="1479" t="s">
        <v>451</v>
      </c>
      <c r="J214" s="1479" t="s">
        <v>79</v>
      </c>
      <c r="K214" s="1479" t="s">
        <v>565</v>
      </c>
    </row>
    <row r="215" spans="1:11" x14ac:dyDescent="0.35">
      <c r="A215" s="1482"/>
      <c r="B215" s="1479">
        <v>211</v>
      </c>
      <c r="C215" s="1479" t="s">
        <v>17</v>
      </c>
      <c r="D215" s="1480">
        <v>51.7</v>
      </c>
      <c r="E215" s="1481">
        <f t="shared" si="8"/>
        <v>556.49363000000005</v>
      </c>
      <c r="F215" s="1479" t="s">
        <v>351</v>
      </c>
      <c r="G215" s="1479">
        <v>1</v>
      </c>
      <c r="H215" s="1479" t="s">
        <v>431</v>
      </c>
      <c r="I215" s="1479" t="s">
        <v>451</v>
      </c>
      <c r="J215" s="1479" t="s">
        <v>79</v>
      </c>
      <c r="K215" s="1483" t="s">
        <v>582</v>
      </c>
    </row>
    <row r="216" spans="1:11" x14ac:dyDescent="0.35">
      <c r="A216" s="1482"/>
      <c r="B216" s="1479">
        <v>212</v>
      </c>
      <c r="C216" s="1479" t="s">
        <v>17</v>
      </c>
      <c r="D216" s="1480">
        <v>50.2</v>
      </c>
      <c r="E216" s="1481">
        <f t="shared" si="8"/>
        <v>540.34778000000006</v>
      </c>
      <c r="F216" s="1479" t="s">
        <v>351</v>
      </c>
      <c r="G216" s="1479">
        <v>1</v>
      </c>
      <c r="H216" s="1479" t="s">
        <v>431</v>
      </c>
      <c r="I216" s="1479" t="s">
        <v>451</v>
      </c>
      <c r="J216" s="1479" t="s">
        <v>79</v>
      </c>
      <c r="K216" s="1479" t="s">
        <v>578</v>
      </c>
    </row>
    <row r="217" spans="1:11" x14ac:dyDescent="0.35">
      <c r="A217" s="1482"/>
      <c r="B217" s="1479" t="s">
        <v>117</v>
      </c>
      <c r="C217" s="1479" t="s">
        <v>17</v>
      </c>
      <c r="D217" s="1480">
        <v>53.6</v>
      </c>
      <c r="E217" s="1481">
        <f t="shared" si="8"/>
        <v>576.94503999999995</v>
      </c>
      <c r="F217" s="1479" t="s">
        <v>351</v>
      </c>
      <c r="G217" s="1479">
        <v>1</v>
      </c>
      <c r="H217" s="1479" t="s">
        <v>431</v>
      </c>
      <c r="I217" s="1479" t="s">
        <v>451</v>
      </c>
      <c r="J217" s="1479" t="s">
        <v>79</v>
      </c>
      <c r="K217" s="1479" t="s">
        <v>578</v>
      </c>
    </row>
    <row r="218" spans="1:11" x14ac:dyDescent="0.35">
      <c r="A218" s="1482"/>
      <c r="B218" s="1479">
        <v>213</v>
      </c>
      <c r="C218" s="1479" t="s">
        <v>17</v>
      </c>
      <c r="D218" s="1480">
        <v>49.9</v>
      </c>
      <c r="E218" s="1481">
        <f t="shared" si="8"/>
        <v>537.11860999999999</v>
      </c>
      <c r="F218" s="1479" t="s">
        <v>351</v>
      </c>
      <c r="G218" s="1479">
        <v>1</v>
      </c>
      <c r="H218" s="1479" t="s">
        <v>431</v>
      </c>
      <c r="I218" s="1479" t="s">
        <v>451</v>
      </c>
      <c r="J218" s="1479" t="s">
        <v>79</v>
      </c>
      <c r="K218" s="1479" t="s">
        <v>565</v>
      </c>
    </row>
    <row r="219" spans="1:11" x14ac:dyDescent="0.35">
      <c r="A219" s="1482"/>
      <c r="B219" s="1479">
        <v>214</v>
      </c>
      <c r="C219" s="1479" t="s">
        <v>17</v>
      </c>
      <c r="D219" s="1480">
        <v>51.7</v>
      </c>
      <c r="E219" s="1481">
        <f t="shared" si="8"/>
        <v>556.49363000000005</v>
      </c>
      <c r="F219" s="1479" t="s">
        <v>351</v>
      </c>
      <c r="G219" s="1479">
        <v>1</v>
      </c>
      <c r="H219" s="1479" t="s">
        <v>431</v>
      </c>
      <c r="I219" s="1479" t="s">
        <v>451</v>
      </c>
      <c r="J219" s="1479" t="s">
        <v>79</v>
      </c>
      <c r="K219" s="1483" t="s">
        <v>582</v>
      </c>
    </row>
    <row r="220" spans="1:11" x14ac:dyDescent="0.35">
      <c r="A220" s="1487"/>
      <c r="B220" s="1479">
        <v>215</v>
      </c>
      <c r="C220" s="1479" t="s">
        <v>17</v>
      </c>
      <c r="D220" s="1480">
        <v>50.2</v>
      </c>
      <c r="E220" s="1481">
        <f t="shared" si="8"/>
        <v>540.34778000000006</v>
      </c>
      <c r="F220" s="1479" t="s">
        <v>351</v>
      </c>
      <c r="G220" s="1479">
        <v>1</v>
      </c>
      <c r="H220" s="1479" t="s">
        <v>431</v>
      </c>
      <c r="I220" s="1479" t="s">
        <v>451</v>
      </c>
      <c r="J220" s="1479" t="s">
        <v>79</v>
      </c>
      <c r="K220" s="1479" t="s">
        <v>578</v>
      </c>
    </row>
    <row r="221" spans="1:11" ht="30" x14ac:dyDescent="0.35">
      <c r="A221" s="1488" t="s">
        <v>126</v>
      </c>
      <c r="B221" s="1489">
        <v>216</v>
      </c>
      <c r="C221" s="1489" t="s">
        <v>17</v>
      </c>
      <c r="D221" s="1490">
        <v>48.3</v>
      </c>
      <c r="E221" s="1491">
        <f t="shared" si="8"/>
        <v>519.89636999999993</v>
      </c>
      <c r="F221" s="1489" t="s">
        <v>351</v>
      </c>
      <c r="G221" s="1492">
        <v>1</v>
      </c>
      <c r="H221" s="1489" t="s">
        <v>431</v>
      </c>
      <c r="I221" s="1490" t="s">
        <v>469</v>
      </c>
      <c r="J221" s="1493" t="s">
        <v>79</v>
      </c>
      <c r="K221" s="1494" t="s">
        <v>583</v>
      </c>
    </row>
    <row r="222" spans="1:11" x14ac:dyDescent="0.35">
      <c r="A222" s="1495"/>
      <c r="B222" s="1489">
        <v>217</v>
      </c>
      <c r="C222" s="1489" t="s">
        <v>17</v>
      </c>
      <c r="D222" s="1490">
        <v>56.2</v>
      </c>
      <c r="E222" s="1491">
        <f t="shared" si="8"/>
        <v>604.93118000000004</v>
      </c>
      <c r="F222" s="1489" t="s">
        <v>351</v>
      </c>
      <c r="G222" s="1496">
        <v>1</v>
      </c>
      <c r="H222" s="1489" t="s">
        <v>431</v>
      </c>
      <c r="I222" s="1490" t="s">
        <v>584</v>
      </c>
      <c r="J222" s="1493">
        <v>86</v>
      </c>
      <c r="K222" s="1489" t="s">
        <v>585</v>
      </c>
    </row>
    <row r="223" spans="1:11" ht="30" x14ac:dyDescent="0.35">
      <c r="A223" s="1495"/>
      <c r="B223" s="1489">
        <v>218</v>
      </c>
      <c r="C223" s="1489" t="s">
        <v>17</v>
      </c>
      <c r="D223" s="1490">
        <v>43.4</v>
      </c>
      <c r="E223" s="1491">
        <f t="shared" si="8"/>
        <v>467.15325999999999</v>
      </c>
      <c r="F223" s="1489" t="s">
        <v>351</v>
      </c>
      <c r="G223" s="1496">
        <v>1</v>
      </c>
      <c r="H223" s="1489" t="s">
        <v>431</v>
      </c>
      <c r="I223" s="1490" t="s">
        <v>469</v>
      </c>
      <c r="J223" s="1493" t="s">
        <v>79</v>
      </c>
      <c r="K223" s="1494" t="s">
        <v>586</v>
      </c>
    </row>
    <row r="224" spans="1:11" x14ac:dyDescent="0.35">
      <c r="A224" s="1495"/>
      <c r="B224" s="1489">
        <v>219</v>
      </c>
      <c r="C224" s="1489" t="s">
        <v>17</v>
      </c>
      <c r="D224" s="1490">
        <v>43.4</v>
      </c>
      <c r="E224" s="1491">
        <f t="shared" si="8"/>
        <v>467.15325999999999</v>
      </c>
      <c r="F224" s="1489" t="s">
        <v>351</v>
      </c>
      <c r="G224" s="1489">
        <v>1</v>
      </c>
      <c r="H224" s="1489" t="s">
        <v>431</v>
      </c>
      <c r="I224" s="1490" t="s">
        <v>584</v>
      </c>
      <c r="J224" s="1493">
        <v>89</v>
      </c>
      <c r="K224" s="1489" t="s">
        <v>494</v>
      </c>
    </row>
    <row r="225" spans="1:11" x14ac:dyDescent="0.35">
      <c r="A225" s="1495"/>
      <c r="B225" s="1489">
        <v>220</v>
      </c>
      <c r="C225" s="1489" t="s">
        <v>17</v>
      </c>
      <c r="D225" s="1490">
        <v>43.4</v>
      </c>
      <c r="E225" s="1491">
        <f t="shared" si="8"/>
        <v>467.15325999999999</v>
      </c>
      <c r="F225" s="1489" t="s">
        <v>351</v>
      </c>
      <c r="G225" s="1492">
        <v>1</v>
      </c>
      <c r="H225" s="1489" t="s">
        <v>431</v>
      </c>
      <c r="I225" s="1490" t="s">
        <v>469</v>
      </c>
      <c r="J225" s="1493" t="s">
        <v>79</v>
      </c>
      <c r="K225" s="1494" t="s">
        <v>587</v>
      </c>
    </row>
    <row r="226" spans="1:11" x14ac:dyDescent="0.35">
      <c r="A226" s="1495"/>
      <c r="B226" s="1489">
        <v>221</v>
      </c>
      <c r="C226" s="1489" t="s">
        <v>17</v>
      </c>
      <c r="D226" s="1490">
        <v>43.4</v>
      </c>
      <c r="E226" s="1491">
        <f t="shared" si="8"/>
        <v>467.15325999999999</v>
      </c>
      <c r="F226" s="1489" t="s">
        <v>351</v>
      </c>
      <c r="G226" s="1496">
        <v>1</v>
      </c>
      <c r="H226" s="1489" t="s">
        <v>431</v>
      </c>
      <c r="I226" s="1490" t="s">
        <v>584</v>
      </c>
      <c r="J226" s="1493">
        <v>89</v>
      </c>
      <c r="K226" s="1489" t="s">
        <v>494</v>
      </c>
    </row>
    <row r="227" spans="1:11" x14ac:dyDescent="0.35">
      <c r="A227" s="1495"/>
      <c r="B227" s="1489">
        <v>222</v>
      </c>
      <c r="C227" s="1489" t="s">
        <v>17</v>
      </c>
      <c r="D227" s="1490">
        <v>43.4</v>
      </c>
      <c r="E227" s="1491">
        <f t="shared" si="8"/>
        <v>467.15325999999999</v>
      </c>
      <c r="F227" s="1489" t="s">
        <v>351</v>
      </c>
      <c r="G227" s="1496">
        <v>1</v>
      </c>
      <c r="H227" s="1489" t="s">
        <v>431</v>
      </c>
      <c r="I227" s="1490" t="s">
        <v>469</v>
      </c>
      <c r="J227" s="1493" t="s">
        <v>79</v>
      </c>
      <c r="K227" s="1494" t="s">
        <v>587</v>
      </c>
    </row>
    <row r="228" spans="1:11" x14ac:dyDescent="0.35">
      <c r="A228" s="1495"/>
      <c r="B228" s="1489">
        <v>223</v>
      </c>
      <c r="C228" s="1489" t="s">
        <v>17</v>
      </c>
      <c r="D228" s="1490">
        <v>43.4</v>
      </c>
      <c r="E228" s="1491">
        <f t="shared" si="8"/>
        <v>467.15325999999999</v>
      </c>
      <c r="F228" s="1489" t="s">
        <v>351</v>
      </c>
      <c r="G228" s="1496">
        <v>1</v>
      </c>
      <c r="H228" s="1489" t="s">
        <v>431</v>
      </c>
      <c r="I228" s="1490" t="s">
        <v>584</v>
      </c>
      <c r="J228" s="1493">
        <v>89</v>
      </c>
      <c r="K228" s="1489" t="s">
        <v>494</v>
      </c>
    </row>
    <row r="229" spans="1:11" x14ac:dyDescent="0.35">
      <c r="A229" s="1495"/>
      <c r="B229" s="1489">
        <v>224</v>
      </c>
      <c r="C229" s="1489" t="s">
        <v>17</v>
      </c>
      <c r="D229" s="1490">
        <v>43.4</v>
      </c>
      <c r="E229" s="1491">
        <f t="shared" si="8"/>
        <v>467.15325999999999</v>
      </c>
      <c r="F229" s="1489" t="s">
        <v>351</v>
      </c>
      <c r="G229" s="1489">
        <v>1</v>
      </c>
      <c r="H229" s="1489" t="s">
        <v>431</v>
      </c>
      <c r="I229" s="1490" t="s">
        <v>469</v>
      </c>
      <c r="J229" s="1493" t="s">
        <v>79</v>
      </c>
      <c r="K229" s="1494" t="s">
        <v>587</v>
      </c>
    </row>
    <row r="230" spans="1:11" x14ac:dyDescent="0.35">
      <c r="A230" s="1495"/>
      <c r="B230" s="1489">
        <v>225</v>
      </c>
      <c r="C230" s="1489" t="s">
        <v>17</v>
      </c>
      <c r="D230" s="1490">
        <v>51.2</v>
      </c>
      <c r="E230" s="1491">
        <f t="shared" si="8"/>
        <v>551.11167999999998</v>
      </c>
      <c r="F230" s="1489" t="s">
        <v>351</v>
      </c>
      <c r="G230" s="1489">
        <v>1</v>
      </c>
      <c r="H230" s="1489" t="s">
        <v>431</v>
      </c>
      <c r="I230" s="1490" t="s">
        <v>584</v>
      </c>
      <c r="J230" s="1493">
        <v>89</v>
      </c>
      <c r="K230" s="1489" t="s">
        <v>588</v>
      </c>
    </row>
    <row r="231" spans="1:11" x14ac:dyDescent="0.35">
      <c r="A231" s="1495"/>
      <c r="B231" s="1489">
        <v>226</v>
      </c>
      <c r="C231" s="1489" t="s">
        <v>17</v>
      </c>
      <c r="D231" s="1490">
        <v>43.4</v>
      </c>
      <c r="E231" s="1491">
        <f t="shared" si="8"/>
        <v>467.15325999999999</v>
      </c>
      <c r="F231" s="1489" t="s">
        <v>351</v>
      </c>
      <c r="G231" s="1489">
        <v>1</v>
      </c>
      <c r="H231" s="1489" t="s">
        <v>431</v>
      </c>
      <c r="I231" s="1490" t="s">
        <v>469</v>
      </c>
      <c r="J231" s="1493" t="s">
        <v>79</v>
      </c>
      <c r="K231" s="1494" t="s">
        <v>587</v>
      </c>
    </row>
    <row r="232" spans="1:11" x14ac:dyDescent="0.35">
      <c r="A232" s="1495"/>
      <c r="B232" s="1489">
        <v>227</v>
      </c>
      <c r="C232" s="1489" t="s">
        <v>17</v>
      </c>
      <c r="D232" s="1490">
        <v>43.4</v>
      </c>
      <c r="E232" s="1491">
        <f t="shared" si="8"/>
        <v>467.15325999999999</v>
      </c>
      <c r="F232" s="1489" t="s">
        <v>351</v>
      </c>
      <c r="G232" s="1496">
        <v>1</v>
      </c>
      <c r="H232" s="1489" t="s">
        <v>431</v>
      </c>
      <c r="I232" s="1490" t="s">
        <v>469</v>
      </c>
      <c r="J232" s="1493" t="s">
        <v>79</v>
      </c>
      <c r="K232" s="1494" t="s">
        <v>587</v>
      </c>
    </row>
    <row r="233" spans="1:11" x14ac:dyDescent="0.35">
      <c r="A233" s="1495"/>
      <c r="B233" s="1489">
        <v>228</v>
      </c>
      <c r="C233" s="1489" t="s">
        <v>17</v>
      </c>
      <c r="D233" s="1490">
        <v>57.8</v>
      </c>
      <c r="E233" s="1491">
        <f t="shared" si="8"/>
        <v>622.15341999999998</v>
      </c>
      <c r="F233" s="1489" t="s">
        <v>351</v>
      </c>
      <c r="G233" s="1496">
        <v>1</v>
      </c>
      <c r="H233" s="1489" t="s">
        <v>431</v>
      </c>
      <c r="I233" s="1490" t="s">
        <v>584</v>
      </c>
      <c r="J233" s="1493">
        <v>74</v>
      </c>
      <c r="K233" s="1489" t="s">
        <v>588</v>
      </c>
    </row>
    <row r="234" spans="1:11" x14ac:dyDescent="0.35">
      <c r="A234" s="1495"/>
      <c r="B234" s="1489">
        <v>229</v>
      </c>
      <c r="C234" s="1489" t="s">
        <v>17</v>
      </c>
      <c r="D234" s="1490">
        <v>56.2</v>
      </c>
      <c r="E234" s="1491">
        <f t="shared" si="8"/>
        <v>604.93118000000004</v>
      </c>
      <c r="F234" s="1489" t="s">
        <v>351</v>
      </c>
      <c r="G234" s="1496">
        <v>1</v>
      </c>
      <c r="H234" s="1489" t="s">
        <v>431</v>
      </c>
      <c r="I234" s="1490" t="s">
        <v>469</v>
      </c>
      <c r="J234" s="1493" t="s">
        <v>79</v>
      </c>
      <c r="K234" s="1489" t="s">
        <v>585</v>
      </c>
    </row>
    <row r="235" spans="1:11" ht="30" x14ac:dyDescent="0.35">
      <c r="A235" s="1495"/>
      <c r="B235" s="1489">
        <v>230</v>
      </c>
      <c r="C235" s="1489" t="s">
        <v>17</v>
      </c>
      <c r="D235" s="1490">
        <v>43.4</v>
      </c>
      <c r="E235" s="1491">
        <f t="shared" si="8"/>
        <v>467.15325999999999</v>
      </c>
      <c r="F235" s="1489" t="s">
        <v>351</v>
      </c>
      <c r="G235" s="1496">
        <v>1</v>
      </c>
      <c r="H235" s="1489" t="s">
        <v>431</v>
      </c>
      <c r="I235" s="1490" t="s">
        <v>469</v>
      </c>
      <c r="J235" s="1493" t="s">
        <v>79</v>
      </c>
      <c r="K235" s="1494" t="s">
        <v>586</v>
      </c>
    </row>
    <row r="236" spans="1:11" x14ac:dyDescent="0.35">
      <c r="A236" s="1495"/>
      <c r="B236" s="1489">
        <v>231</v>
      </c>
      <c r="C236" s="1489" t="s">
        <v>17</v>
      </c>
      <c r="D236" s="1490">
        <v>43.4</v>
      </c>
      <c r="E236" s="1491">
        <f t="shared" si="8"/>
        <v>467.15325999999999</v>
      </c>
      <c r="F236" s="1489" t="s">
        <v>351</v>
      </c>
      <c r="G236" s="1496">
        <v>1</v>
      </c>
      <c r="H236" s="1489" t="s">
        <v>431</v>
      </c>
      <c r="I236" s="1490" t="s">
        <v>584</v>
      </c>
      <c r="J236" s="1493">
        <v>89</v>
      </c>
      <c r="K236" s="1489" t="s">
        <v>494</v>
      </c>
    </row>
    <row r="237" spans="1:11" x14ac:dyDescent="0.35">
      <c r="A237" s="1495"/>
      <c r="B237" s="1489">
        <v>232</v>
      </c>
      <c r="C237" s="1489" t="s">
        <v>17</v>
      </c>
      <c r="D237" s="1490">
        <v>43.4</v>
      </c>
      <c r="E237" s="1491">
        <f t="shared" si="8"/>
        <v>467.15325999999999</v>
      </c>
      <c r="F237" s="1489" t="s">
        <v>351</v>
      </c>
      <c r="G237" s="1489">
        <v>1</v>
      </c>
      <c r="H237" s="1489" t="s">
        <v>431</v>
      </c>
      <c r="I237" s="1490" t="s">
        <v>469</v>
      </c>
      <c r="J237" s="1493" t="s">
        <v>79</v>
      </c>
      <c r="K237" s="1494" t="s">
        <v>587</v>
      </c>
    </row>
    <row r="238" spans="1:11" x14ac:dyDescent="0.35">
      <c r="A238" s="1495"/>
      <c r="B238" s="1489">
        <v>233</v>
      </c>
      <c r="C238" s="1489" t="s">
        <v>17</v>
      </c>
      <c r="D238" s="1490">
        <v>43.4</v>
      </c>
      <c r="E238" s="1491">
        <f t="shared" si="8"/>
        <v>467.15325999999999</v>
      </c>
      <c r="F238" s="1489" t="s">
        <v>351</v>
      </c>
      <c r="G238" s="1489">
        <v>1</v>
      </c>
      <c r="H238" s="1489" t="s">
        <v>431</v>
      </c>
      <c r="I238" s="1490" t="s">
        <v>584</v>
      </c>
      <c r="J238" s="1493">
        <v>89</v>
      </c>
      <c r="K238" s="1489" t="s">
        <v>494</v>
      </c>
    </row>
    <row r="239" spans="1:11" x14ac:dyDescent="0.35">
      <c r="A239" s="1495"/>
      <c r="B239" s="1489">
        <v>234</v>
      </c>
      <c r="C239" s="1489" t="s">
        <v>17</v>
      </c>
      <c r="D239" s="1490">
        <v>43.4</v>
      </c>
      <c r="E239" s="1491">
        <f t="shared" si="8"/>
        <v>467.15325999999999</v>
      </c>
      <c r="F239" s="1489" t="s">
        <v>351</v>
      </c>
      <c r="G239" s="1489">
        <v>1</v>
      </c>
      <c r="H239" s="1489" t="s">
        <v>431</v>
      </c>
      <c r="I239" s="1490" t="s">
        <v>469</v>
      </c>
      <c r="J239" s="1493" t="s">
        <v>79</v>
      </c>
      <c r="K239" s="1494" t="s">
        <v>587</v>
      </c>
    </row>
    <row r="240" spans="1:11" x14ac:dyDescent="0.35">
      <c r="A240" s="1495"/>
      <c r="B240" s="1489">
        <v>235</v>
      </c>
      <c r="C240" s="1489" t="s">
        <v>17</v>
      </c>
      <c r="D240" s="1490">
        <v>43.4</v>
      </c>
      <c r="E240" s="1491">
        <f t="shared" si="8"/>
        <v>467.15325999999999</v>
      </c>
      <c r="F240" s="1489" t="s">
        <v>351</v>
      </c>
      <c r="G240" s="1489">
        <v>1</v>
      </c>
      <c r="H240" s="1489" t="s">
        <v>431</v>
      </c>
      <c r="I240" s="1490" t="s">
        <v>589</v>
      </c>
      <c r="J240" s="1493">
        <v>89</v>
      </c>
      <c r="K240" s="1489" t="s">
        <v>494</v>
      </c>
    </row>
    <row r="241" spans="1:11" x14ac:dyDescent="0.35">
      <c r="A241" s="1495"/>
      <c r="B241" s="1489">
        <v>236</v>
      </c>
      <c r="C241" s="1489" t="s">
        <v>17</v>
      </c>
      <c r="D241" s="1490">
        <v>43.4</v>
      </c>
      <c r="E241" s="1491">
        <f t="shared" si="8"/>
        <v>467.15325999999999</v>
      </c>
      <c r="F241" s="1489" t="s">
        <v>351</v>
      </c>
      <c r="G241" s="1489">
        <v>1</v>
      </c>
      <c r="H241" s="1489" t="s">
        <v>431</v>
      </c>
      <c r="I241" s="1490" t="s">
        <v>469</v>
      </c>
      <c r="J241" s="1493" t="s">
        <v>79</v>
      </c>
      <c r="K241" s="1494" t="s">
        <v>587</v>
      </c>
    </row>
    <row r="242" spans="1:11" x14ac:dyDescent="0.35">
      <c r="A242" s="1495"/>
      <c r="B242" s="1489">
        <v>237</v>
      </c>
      <c r="C242" s="1489" t="s">
        <v>17</v>
      </c>
      <c r="D242" s="1490">
        <v>51.2</v>
      </c>
      <c r="E242" s="1491">
        <f t="shared" si="8"/>
        <v>551.11167999999998</v>
      </c>
      <c r="F242" s="1489" t="s">
        <v>351</v>
      </c>
      <c r="G242" s="1489">
        <v>1</v>
      </c>
      <c r="H242" s="1489" t="s">
        <v>431</v>
      </c>
      <c r="I242" s="1490" t="s">
        <v>584</v>
      </c>
      <c r="J242" s="1493">
        <v>89</v>
      </c>
      <c r="K242" s="1489" t="s">
        <v>588</v>
      </c>
    </row>
    <row r="243" spans="1:11" x14ac:dyDescent="0.35">
      <c r="A243" s="1495"/>
      <c r="B243" s="1489">
        <v>238</v>
      </c>
      <c r="C243" s="1489" t="s">
        <v>17</v>
      </c>
      <c r="D243" s="1490">
        <v>43.4</v>
      </c>
      <c r="E243" s="1491">
        <f t="shared" si="8"/>
        <v>467.15325999999999</v>
      </c>
      <c r="F243" s="1489" t="s">
        <v>351</v>
      </c>
      <c r="G243" s="1489">
        <v>1</v>
      </c>
      <c r="H243" s="1489" t="s">
        <v>431</v>
      </c>
      <c r="I243" s="1490" t="s">
        <v>469</v>
      </c>
      <c r="J243" s="1493" t="s">
        <v>79</v>
      </c>
      <c r="K243" s="1494" t="s">
        <v>587</v>
      </c>
    </row>
    <row r="244" spans="1:11" x14ac:dyDescent="0.35">
      <c r="A244" s="1495"/>
      <c r="B244" s="1489">
        <v>239</v>
      </c>
      <c r="C244" s="1489" t="s">
        <v>17</v>
      </c>
      <c r="D244" s="1490">
        <v>43.4</v>
      </c>
      <c r="E244" s="1491">
        <f t="shared" si="8"/>
        <v>467.15325999999999</v>
      </c>
      <c r="F244" s="1489" t="s">
        <v>351</v>
      </c>
      <c r="G244" s="1489">
        <v>1</v>
      </c>
      <c r="H244" s="1489" t="s">
        <v>431</v>
      </c>
      <c r="I244" s="1490" t="s">
        <v>469</v>
      </c>
      <c r="J244" s="1493" t="s">
        <v>79</v>
      </c>
      <c r="K244" s="1494" t="s">
        <v>587</v>
      </c>
    </row>
    <row r="245" spans="1:11" x14ac:dyDescent="0.35">
      <c r="A245" s="1495"/>
      <c r="B245" s="1489">
        <v>240</v>
      </c>
      <c r="C245" s="1489" t="s">
        <v>17</v>
      </c>
      <c r="D245" s="1490">
        <v>57.8</v>
      </c>
      <c r="E245" s="1491">
        <f t="shared" si="8"/>
        <v>622.15341999999998</v>
      </c>
      <c r="F245" s="1489" t="s">
        <v>351</v>
      </c>
      <c r="G245" s="1489">
        <v>1</v>
      </c>
      <c r="H245" s="1489" t="s">
        <v>431</v>
      </c>
      <c r="I245" s="1490" t="s">
        <v>584</v>
      </c>
      <c r="J245" s="1493">
        <v>74</v>
      </c>
      <c r="K245" s="1489" t="s">
        <v>588</v>
      </c>
    </row>
    <row r="246" spans="1:11" x14ac:dyDescent="0.35">
      <c r="A246" s="1495"/>
      <c r="B246" s="1489">
        <v>241</v>
      </c>
      <c r="C246" s="1489" t="s">
        <v>17</v>
      </c>
      <c r="D246" s="1490">
        <v>53.3</v>
      </c>
      <c r="E246" s="1491">
        <f t="shared" si="8"/>
        <v>573.71587</v>
      </c>
      <c r="F246" s="1489" t="s">
        <v>351</v>
      </c>
      <c r="G246" s="1489">
        <v>1</v>
      </c>
      <c r="H246" s="1489" t="s">
        <v>431</v>
      </c>
      <c r="I246" s="1490" t="s">
        <v>469</v>
      </c>
      <c r="J246" s="1493" t="s">
        <v>79</v>
      </c>
      <c r="K246" s="1489" t="s">
        <v>585</v>
      </c>
    </row>
    <row r="247" spans="1:11" ht="30" x14ac:dyDescent="0.35">
      <c r="A247" s="1495"/>
      <c r="B247" s="1489">
        <v>242</v>
      </c>
      <c r="C247" s="1489" t="s">
        <v>17</v>
      </c>
      <c r="D247" s="1490">
        <v>43.4</v>
      </c>
      <c r="E247" s="1491">
        <f t="shared" si="8"/>
        <v>467.15325999999999</v>
      </c>
      <c r="F247" s="1489" t="s">
        <v>351</v>
      </c>
      <c r="G247" s="1489">
        <v>1</v>
      </c>
      <c r="H247" s="1489" t="s">
        <v>431</v>
      </c>
      <c r="I247" s="1490" t="s">
        <v>469</v>
      </c>
      <c r="J247" s="1493" t="s">
        <v>79</v>
      </c>
      <c r="K247" s="1494" t="s">
        <v>586</v>
      </c>
    </row>
    <row r="248" spans="1:11" x14ac:dyDescent="0.35">
      <c r="A248" s="1495"/>
      <c r="B248" s="1489">
        <v>243</v>
      </c>
      <c r="C248" s="1489" t="s">
        <v>17</v>
      </c>
      <c r="D248" s="1490">
        <v>43.4</v>
      </c>
      <c r="E248" s="1491">
        <f t="shared" si="8"/>
        <v>467.15325999999999</v>
      </c>
      <c r="F248" s="1489" t="s">
        <v>351</v>
      </c>
      <c r="G248" s="1489">
        <v>1</v>
      </c>
      <c r="H248" s="1489" t="s">
        <v>431</v>
      </c>
      <c r="I248" s="1490" t="s">
        <v>469</v>
      </c>
      <c r="J248" s="1493" t="s">
        <v>79</v>
      </c>
      <c r="K248" s="1489" t="s">
        <v>494</v>
      </c>
    </row>
    <row r="249" spans="1:11" x14ac:dyDescent="0.35">
      <c r="A249" s="1495"/>
      <c r="B249" s="1489">
        <v>244</v>
      </c>
      <c r="C249" s="1489" t="s">
        <v>17</v>
      </c>
      <c r="D249" s="1490">
        <v>43.4</v>
      </c>
      <c r="E249" s="1491">
        <f t="shared" si="8"/>
        <v>467.15325999999999</v>
      </c>
      <c r="F249" s="1489" t="s">
        <v>351</v>
      </c>
      <c r="G249" s="1489">
        <v>1</v>
      </c>
      <c r="H249" s="1489" t="s">
        <v>431</v>
      </c>
      <c r="I249" s="1490" t="s">
        <v>469</v>
      </c>
      <c r="J249" s="1493" t="s">
        <v>79</v>
      </c>
      <c r="K249" s="1494" t="s">
        <v>587</v>
      </c>
    </row>
    <row r="250" spans="1:11" x14ac:dyDescent="0.35">
      <c r="A250" s="1495"/>
      <c r="B250" s="1489">
        <v>245</v>
      </c>
      <c r="C250" s="1489" t="s">
        <v>17</v>
      </c>
      <c r="D250" s="1490">
        <v>43.4</v>
      </c>
      <c r="E250" s="1491">
        <f t="shared" si="8"/>
        <v>467.15325999999999</v>
      </c>
      <c r="F250" s="1489" t="s">
        <v>351</v>
      </c>
      <c r="G250" s="1489">
        <v>1</v>
      </c>
      <c r="H250" s="1489" t="s">
        <v>431</v>
      </c>
      <c r="I250" s="1490" t="s">
        <v>469</v>
      </c>
      <c r="J250" s="1493" t="s">
        <v>79</v>
      </c>
      <c r="K250" s="1489" t="s">
        <v>494</v>
      </c>
    </row>
    <row r="251" spans="1:11" x14ac:dyDescent="0.35">
      <c r="A251" s="1495"/>
      <c r="B251" s="1489">
        <v>246</v>
      </c>
      <c r="C251" s="1489" t="s">
        <v>17</v>
      </c>
      <c r="D251" s="1490">
        <v>43.4</v>
      </c>
      <c r="E251" s="1491">
        <f t="shared" si="8"/>
        <v>467.15325999999999</v>
      </c>
      <c r="F251" s="1489" t="s">
        <v>351</v>
      </c>
      <c r="G251" s="1489">
        <v>1</v>
      </c>
      <c r="H251" s="1489" t="s">
        <v>431</v>
      </c>
      <c r="I251" s="1490" t="s">
        <v>469</v>
      </c>
      <c r="J251" s="1493" t="s">
        <v>79</v>
      </c>
      <c r="K251" s="1494" t="s">
        <v>587</v>
      </c>
    </row>
    <row r="252" spans="1:11" x14ac:dyDescent="0.35">
      <c r="A252" s="1495"/>
      <c r="B252" s="1489">
        <v>247</v>
      </c>
      <c r="C252" s="1489" t="s">
        <v>17</v>
      </c>
      <c r="D252" s="1490">
        <v>43.4</v>
      </c>
      <c r="E252" s="1491">
        <f t="shared" si="8"/>
        <v>467.15325999999999</v>
      </c>
      <c r="F252" s="1489" t="s">
        <v>351</v>
      </c>
      <c r="G252" s="1489">
        <v>1</v>
      </c>
      <c r="H252" s="1489" t="s">
        <v>431</v>
      </c>
      <c r="I252" s="1490" t="s">
        <v>469</v>
      </c>
      <c r="J252" s="1493" t="s">
        <v>79</v>
      </c>
      <c r="K252" s="1489" t="s">
        <v>494</v>
      </c>
    </row>
    <row r="253" spans="1:11" x14ac:dyDescent="0.35">
      <c r="A253" s="1495"/>
      <c r="B253" s="1489">
        <v>248</v>
      </c>
      <c r="C253" s="1489" t="s">
        <v>17</v>
      </c>
      <c r="D253" s="1490">
        <v>43.4</v>
      </c>
      <c r="E253" s="1491">
        <f t="shared" si="8"/>
        <v>467.15325999999999</v>
      </c>
      <c r="F253" s="1489" t="s">
        <v>351</v>
      </c>
      <c r="G253" s="1489">
        <v>1</v>
      </c>
      <c r="H253" s="1489" t="s">
        <v>431</v>
      </c>
      <c r="I253" s="1490" t="s">
        <v>469</v>
      </c>
      <c r="J253" s="1493" t="s">
        <v>79</v>
      </c>
      <c r="K253" s="1494" t="s">
        <v>587</v>
      </c>
    </row>
    <row r="254" spans="1:11" x14ac:dyDescent="0.35">
      <c r="A254" s="1495"/>
      <c r="B254" s="1489">
        <v>249</v>
      </c>
      <c r="C254" s="1489" t="s">
        <v>17</v>
      </c>
      <c r="D254" s="1490">
        <v>51.2</v>
      </c>
      <c r="E254" s="1491">
        <f t="shared" si="8"/>
        <v>551.11167999999998</v>
      </c>
      <c r="F254" s="1489" t="s">
        <v>351</v>
      </c>
      <c r="G254" s="1489">
        <v>1</v>
      </c>
      <c r="H254" s="1489" t="s">
        <v>431</v>
      </c>
      <c r="I254" s="1490" t="s">
        <v>469</v>
      </c>
      <c r="J254" s="1493" t="s">
        <v>79</v>
      </c>
      <c r="K254" s="1489" t="s">
        <v>588</v>
      </c>
    </row>
    <row r="255" spans="1:11" x14ac:dyDescent="0.35">
      <c r="A255" s="1495"/>
      <c r="B255" s="1489">
        <v>250</v>
      </c>
      <c r="C255" s="1489" t="s">
        <v>17</v>
      </c>
      <c r="D255" s="1490">
        <v>43.4</v>
      </c>
      <c r="E255" s="1491">
        <f t="shared" si="8"/>
        <v>467.15325999999999</v>
      </c>
      <c r="F255" s="1489" t="s">
        <v>351</v>
      </c>
      <c r="G255" s="1489">
        <v>1</v>
      </c>
      <c r="H255" s="1489" t="s">
        <v>431</v>
      </c>
      <c r="I255" s="1490" t="s">
        <v>469</v>
      </c>
      <c r="J255" s="1493" t="s">
        <v>79</v>
      </c>
      <c r="K255" s="1494" t="s">
        <v>587</v>
      </c>
    </row>
    <row r="256" spans="1:11" x14ac:dyDescent="0.35">
      <c r="A256" s="1495"/>
      <c r="B256" s="1489">
        <v>251</v>
      </c>
      <c r="C256" s="1489" t="s">
        <v>17</v>
      </c>
      <c r="D256" s="1490">
        <v>43.4</v>
      </c>
      <c r="E256" s="1491">
        <f t="shared" si="8"/>
        <v>467.15325999999999</v>
      </c>
      <c r="F256" s="1489" t="s">
        <v>351</v>
      </c>
      <c r="G256" s="1497">
        <v>1</v>
      </c>
      <c r="H256" s="1489" t="s">
        <v>431</v>
      </c>
      <c r="I256" s="1490" t="s">
        <v>469</v>
      </c>
      <c r="J256" s="1493" t="s">
        <v>79</v>
      </c>
      <c r="K256" s="1494" t="s">
        <v>587</v>
      </c>
    </row>
    <row r="257" spans="1:11" x14ac:dyDescent="0.35">
      <c r="A257" s="1495"/>
      <c r="B257" s="1489">
        <v>252</v>
      </c>
      <c r="C257" s="1489" t="s">
        <v>17</v>
      </c>
      <c r="D257" s="1490">
        <v>57.8</v>
      </c>
      <c r="E257" s="1491">
        <f>SUM(D257*10.7639)</f>
        <v>622.15341999999998</v>
      </c>
      <c r="F257" s="1489" t="s">
        <v>351</v>
      </c>
      <c r="G257" s="1489">
        <v>1</v>
      </c>
      <c r="H257" s="1489" t="s">
        <v>431</v>
      </c>
      <c r="I257" s="1490" t="s">
        <v>584</v>
      </c>
      <c r="J257" s="1493">
        <v>74</v>
      </c>
      <c r="K257" s="1489" t="s">
        <v>588</v>
      </c>
    </row>
    <row r="258" spans="1:11" ht="30" x14ac:dyDescent="0.35">
      <c r="A258" s="1495"/>
      <c r="B258" s="1489">
        <v>253</v>
      </c>
      <c r="C258" s="1489" t="s">
        <v>17</v>
      </c>
      <c r="D258" s="1490">
        <v>43.4</v>
      </c>
      <c r="E258" s="1491">
        <f t="shared" si="8"/>
        <v>467.15325999999999</v>
      </c>
      <c r="F258" s="1489" t="s">
        <v>351</v>
      </c>
      <c r="G258" s="1489">
        <v>1</v>
      </c>
      <c r="H258" s="1489" t="s">
        <v>431</v>
      </c>
      <c r="I258" s="1490" t="s">
        <v>469</v>
      </c>
      <c r="J258" s="1493" t="s">
        <v>79</v>
      </c>
      <c r="K258" s="1494" t="s">
        <v>586</v>
      </c>
    </row>
    <row r="259" spans="1:11" x14ac:dyDescent="0.35">
      <c r="A259" s="1495"/>
      <c r="B259" s="1489">
        <v>254</v>
      </c>
      <c r="C259" s="1489" t="s">
        <v>17</v>
      </c>
      <c r="D259" s="1490">
        <v>43.4</v>
      </c>
      <c r="E259" s="1491">
        <f t="shared" si="8"/>
        <v>467.15325999999999</v>
      </c>
      <c r="F259" s="1489" t="s">
        <v>351</v>
      </c>
      <c r="G259" s="1489">
        <v>1</v>
      </c>
      <c r="H259" s="1489" t="s">
        <v>431</v>
      </c>
      <c r="I259" s="1490" t="s">
        <v>584</v>
      </c>
      <c r="J259" s="1493">
        <v>89</v>
      </c>
      <c r="K259" s="1489" t="s">
        <v>494</v>
      </c>
    </row>
    <row r="260" spans="1:11" x14ac:dyDescent="0.35">
      <c r="A260" s="1495"/>
      <c r="B260" s="1489">
        <v>255</v>
      </c>
      <c r="C260" s="1489" t="s">
        <v>17</v>
      </c>
      <c r="D260" s="1490">
        <v>43.4</v>
      </c>
      <c r="E260" s="1491">
        <f t="shared" si="8"/>
        <v>467.15325999999999</v>
      </c>
      <c r="F260" s="1489" t="s">
        <v>351</v>
      </c>
      <c r="G260" s="1489">
        <v>1</v>
      </c>
      <c r="H260" s="1489" t="s">
        <v>431</v>
      </c>
      <c r="I260" s="1490" t="s">
        <v>469</v>
      </c>
      <c r="J260" s="1493" t="s">
        <v>79</v>
      </c>
      <c r="K260" s="1494" t="s">
        <v>587</v>
      </c>
    </row>
    <row r="261" spans="1:11" x14ac:dyDescent="0.35">
      <c r="A261" s="1495"/>
      <c r="B261" s="1489">
        <v>256</v>
      </c>
      <c r="C261" s="1489" t="s">
        <v>17</v>
      </c>
      <c r="D261" s="1490">
        <v>43.4</v>
      </c>
      <c r="E261" s="1491">
        <f t="shared" si="8"/>
        <v>467.15325999999999</v>
      </c>
      <c r="F261" s="1489" t="s">
        <v>351</v>
      </c>
      <c r="G261" s="1489">
        <v>1</v>
      </c>
      <c r="H261" s="1489" t="s">
        <v>431</v>
      </c>
      <c r="I261" s="1490" t="s">
        <v>584</v>
      </c>
      <c r="J261" s="1493">
        <v>89</v>
      </c>
      <c r="K261" s="1489" t="s">
        <v>494</v>
      </c>
    </row>
    <row r="262" spans="1:11" x14ac:dyDescent="0.35">
      <c r="A262" s="1495"/>
      <c r="B262" s="1489">
        <v>257</v>
      </c>
      <c r="C262" s="1489" t="s">
        <v>17</v>
      </c>
      <c r="D262" s="1490">
        <v>43.4</v>
      </c>
      <c r="E262" s="1491">
        <f t="shared" si="8"/>
        <v>467.15325999999999</v>
      </c>
      <c r="F262" s="1489" t="s">
        <v>351</v>
      </c>
      <c r="G262" s="1489">
        <v>1</v>
      </c>
      <c r="H262" s="1489" t="s">
        <v>431</v>
      </c>
      <c r="I262" s="1490" t="s">
        <v>469</v>
      </c>
      <c r="J262" s="1493" t="s">
        <v>79</v>
      </c>
      <c r="K262" s="1494" t="s">
        <v>587</v>
      </c>
    </row>
    <row r="263" spans="1:11" x14ac:dyDescent="0.35">
      <c r="A263" s="1495"/>
      <c r="B263" s="1489">
        <v>258</v>
      </c>
      <c r="C263" s="1489" t="s">
        <v>17</v>
      </c>
      <c r="D263" s="1490">
        <v>43.4</v>
      </c>
      <c r="E263" s="1491">
        <f t="shared" ref="E263:E310" si="9">SUM(D263*10.7639)</f>
        <v>467.15325999999999</v>
      </c>
      <c r="F263" s="1489" t="s">
        <v>351</v>
      </c>
      <c r="G263" s="1489">
        <v>1</v>
      </c>
      <c r="H263" s="1489" t="s">
        <v>431</v>
      </c>
      <c r="I263" s="1490" t="s">
        <v>584</v>
      </c>
      <c r="J263" s="1493">
        <v>89</v>
      </c>
      <c r="K263" s="1489" t="s">
        <v>494</v>
      </c>
    </row>
    <row r="264" spans="1:11" x14ac:dyDescent="0.35">
      <c r="A264" s="1495"/>
      <c r="B264" s="1489">
        <v>259</v>
      </c>
      <c r="C264" s="1489" t="s">
        <v>17</v>
      </c>
      <c r="D264" s="1490">
        <v>43.4</v>
      </c>
      <c r="E264" s="1491">
        <f t="shared" si="9"/>
        <v>467.15325999999999</v>
      </c>
      <c r="F264" s="1489" t="s">
        <v>351</v>
      </c>
      <c r="G264" s="1489">
        <v>1</v>
      </c>
      <c r="H264" s="1489" t="s">
        <v>431</v>
      </c>
      <c r="I264" s="1490" t="s">
        <v>469</v>
      </c>
      <c r="J264" s="1493" t="s">
        <v>79</v>
      </c>
      <c r="K264" s="1494" t="s">
        <v>587</v>
      </c>
    </row>
    <row r="265" spans="1:11" x14ac:dyDescent="0.35">
      <c r="A265" s="1495"/>
      <c r="B265" s="1489">
        <v>260</v>
      </c>
      <c r="C265" s="1489" t="s">
        <v>17</v>
      </c>
      <c r="D265" s="1490">
        <v>51.2</v>
      </c>
      <c r="E265" s="1491">
        <f t="shared" si="9"/>
        <v>551.11167999999998</v>
      </c>
      <c r="F265" s="1489" t="s">
        <v>351</v>
      </c>
      <c r="G265" s="1489">
        <v>1</v>
      </c>
      <c r="H265" s="1489" t="s">
        <v>431</v>
      </c>
      <c r="I265" s="1490" t="s">
        <v>584</v>
      </c>
      <c r="J265" s="1493">
        <v>89</v>
      </c>
      <c r="K265" s="1489" t="s">
        <v>588</v>
      </c>
    </row>
    <row r="266" spans="1:11" x14ac:dyDescent="0.35">
      <c r="A266" s="1495"/>
      <c r="B266" s="1489">
        <v>261</v>
      </c>
      <c r="C266" s="1489" t="s">
        <v>17</v>
      </c>
      <c r="D266" s="1490">
        <v>43.4</v>
      </c>
      <c r="E266" s="1491">
        <f t="shared" si="9"/>
        <v>467.15325999999999</v>
      </c>
      <c r="F266" s="1489" t="s">
        <v>351</v>
      </c>
      <c r="G266" s="1489">
        <v>1</v>
      </c>
      <c r="H266" s="1489" t="s">
        <v>431</v>
      </c>
      <c r="I266" s="1490" t="s">
        <v>469</v>
      </c>
      <c r="J266" s="1493" t="s">
        <v>79</v>
      </c>
      <c r="K266" s="1494" t="s">
        <v>587</v>
      </c>
    </row>
    <row r="267" spans="1:11" x14ac:dyDescent="0.35">
      <c r="A267" s="1495"/>
      <c r="B267" s="1489">
        <v>262</v>
      </c>
      <c r="C267" s="1489" t="s">
        <v>17</v>
      </c>
      <c r="D267" s="1490">
        <v>43.4</v>
      </c>
      <c r="E267" s="1491">
        <f t="shared" si="9"/>
        <v>467.15325999999999</v>
      </c>
      <c r="F267" s="1489" t="s">
        <v>351</v>
      </c>
      <c r="G267" s="1489">
        <v>1</v>
      </c>
      <c r="H267" s="1489" t="s">
        <v>431</v>
      </c>
      <c r="I267" s="1490" t="s">
        <v>469</v>
      </c>
      <c r="J267" s="1493" t="s">
        <v>79</v>
      </c>
      <c r="K267" s="1494" t="s">
        <v>587</v>
      </c>
    </row>
    <row r="268" spans="1:11" ht="30" x14ac:dyDescent="0.35">
      <c r="A268" s="1495"/>
      <c r="B268" s="1489">
        <v>263</v>
      </c>
      <c r="C268" s="1489" t="s">
        <v>17</v>
      </c>
      <c r="D268" s="1490">
        <v>43.4</v>
      </c>
      <c r="E268" s="1491">
        <f t="shared" si="9"/>
        <v>467.15325999999999</v>
      </c>
      <c r="F268" s="1489" t="s">
        <v>351</v>
      </c>
      <c r="G268" s="1489">
        <v>1</v>
      </c>
      <c r="H268" s="1489" t="s">
        <v>431</v>
      </c>
      <c r="I268" s="1490" t="s">
        <v>469</v>
      </c>
      <c r="J268" s="1493" t="s">
        <v>79</v>
      </c>
      <c r="K268" s="1494" t="s">
        <v>586</v>
      </c>
    </row>
    <row r="269" spans="1:11" x14ac:dyDescent="0.35">
      <c r="A269" s="1495"/>
      <c r="B269" s="1489">
        <v>264</v>
      </c>
      <c r="C269" s="1489" t="s">
        <v>17</v>
      </c>
      <c r="D269" s="1490">
        <v>43.4</v>
      </c>
      <c r="E269" s="1491">
        <f t="shared" si="9"/>
        <v>467.15325999999999</v>
      </c>
      <c r="F269" s="1489" t="s">
        <v>351</v>
      </c>
      <c r="G269" s="1489">
        <v>1</v>
      </c>
      <c r="H269" s="1489" t="s">
        <v>431</v>
      </c>
      <c r="I269" s="1490" t="s">
        <v>469</v>
      </c>
      <c r="J269" s="1493" t="s">
        <v>79</v>
      </c>
      <c r="K269" s="1489" t="s">
        <v>494</v>
      </c>
    </row>
    <row r="270" spans="1:11" x14ac:dyDescent="0.35">
      <c r="A270" s="1495"/>
      <c r="B270" s="1489">
        <v>265</v>
      </c>
      <c r="C270" s="1489" t="s">
        <v>17</v>
      </c>
      <c r="D270" s="1490">
        <v>43.4</v>
      </c>
      <c r="E270" s="1491">
        <f t="shared" si="9"/>
        <v>467.15325999999999</v>
      </c>
      <c r="F270" s="1489" t="s">
        <v>351</v>
      </c>
      <c r="G270" s="1489">
        <v>1</v>
      </c>
      <c r="H270" s="1489" t="s">
        <v>431</v>
      </c>
      <c r="I270" s="1490" t="s">
        <v>469</v>
      </c>
      <c r="J270" s="1493" t="s">
        <v>79</v>
      </c>
      <c r="K270" s="1494" t="s">
        <v>587</v>
      </c>
    </row>
    <row r="271" spans="1:11" x14ac:dyDescent="0.35">
      <c r="A271" s="1495"/>
      <c r="B271" s="1489">
        <v>266</v>
      </c>
      <c r="C271" s="1489" t="s">
        <v>17</v>
      </c>
      <c r="D271" s="1490">
        <v>43.4</v>
      </c>
      <c r="E271" s="1491">
        <f t="shared" si="9"/>
        <v>467.15325999999999</v>
      </c>
      <c r="F271" s="1489" t="s">
        <v>351</v>
      </c>
      <c r="G271" s="1489">
        <v>1</v>
      </c>
      <c r="H271" s="1489" t="s">
        <v>431</v>
      </c>
      <c r="I271" s="1490" t="s">
        <v>469</v>
      </c>
      <c r="J271" s="1493" t="s">
        <v>79</v>
      </c>
      <c r="K271" s="1489" t="s">
        <v>494</v>
      </c>
    </row>
    <row r="272" spans="1:11" x14ac:dyDescent="0.35">
      <c r="A272" s="1495"/>
      <c r="B272" s="1489">
        <v>267</v>
      </c>
      <c r="C272" s="1489" t="s">
        <v>17</v>
      </c>
      <c r="D272" s="1490">
        <v>43.4</v>
      </c>
      <c r="E272" s="1491">
        <f t="shared" si="9"/>
        <v>467.15325999999999</v>
      </c>
      <c r="F272" s="1489" t="s">
        <v>351</v>
      </c>
      <c r="G272" s="1489">
        <v>1</v>
      </c>
      <c r="H272" s="1489" t="s">
        <v>431</v>
      </c>
      <c r="I272" s="1490" t="s">
        <v>469</v>
      </c>
      <c r="J272" s="1493" t="s">
        <v>79</v>
      </c>
      <c r="K272" s="1494" t="s">
        <v>587</v>
      </c>
    </row>
    <row r="273" spans="1:11" x14ac:dyDescent="0.35">
      <c r="A273" s="1495"/>
      <c r="B273" s="1489">
        <v>268</v>
      </c>
      <c r="C273" s="1489" t="s">
        <v>17</v>
      </c>
      <c r="D273" s="1490">
        <v>43.4</v>
      </c>
      <c r="E273" s="1491">
        <f t="shared" si="9"/>
        <v>467.15325999999999</v>
      </c>
      <c r="F273" s="1489" t="s">
        <v>351</v>
      </c>
      <c r="G273" s="1497">
        <v>1</v>
      </c>
      <c r="H273" s="1489" t="s">
        <v>431</v>
      </c>
      <c r="I273" s="1490" t="s">
        <v>469</v>
      </c>
      <c r="J273" s="1493" t="s">
        <v>79</v>
      </c>
      <c r="K273" s="1489" t="s">
        <v>494</v>
      </c>
    </row>
    <row r="274" spans="1:11" x14ac:dyDescent="0.35">
      <c r="A274" s="1495"/>
      <c r="B274" s="1489">
        <v>269</v>
      </c>
      <c r="C274" s="1489" t="s">
        <v>17</v>
      </c>
      <c r="D274" s="1490">
        <v>43.4</v>
      </c>
      <c r="E274" s="1491">
        <f t="shared" si="9"/>
        <v>467.15325999999999</v>
      </c>
      <c r="F274" s="1489" t="s">
        <v>351</v>
      </c>
      <c r="G274" s="1489">
        <v>1</v>
      </c>
      <c r="H274" s="1489" t="s">
        <v>431</v>
      </c>
      <c r="I274" s="1490" t="s">
        <v>469</v>
      </c>
      <c r="J274" s="1493" t="s">
        <v>79</v>
      </c>
      <c r="K274" s="1494" t="s">
        <v>587</v>
      </c>
    </row>
    <row r="275" spans="1:11" x14ac:dyDescent="0.35">
      <c r="A275" s="1495"/>
      <c r="B275" s="1489">
        <v>270</v>
      </c>
      <c r="C275" s="1489" t="s">
        <v>17</v>
      </c>
      <c r="D275" s="1490">
        <v>51.2</v>
      </c>
      <c r="E275" s="1491">
        <f t="shared" si="9"/>
        <v>551.11167999999998</v>
      </c>
      <c r="F275" s="1489" t="s">
        <v>351</v>
      </c>
      <c r="G275" s="1496">
        <v>1</v>
      </c>
      <c r="H275" s="1489" t="s">
        <v>431</v>
      </c>
      <c r="I275" s="1490" t="s">
        <v>469</v>
      </c>
      <c r="J275" s="1493" t="s">
        <v>79</v>
      </c>
      <c r="K275" s="1489" t="s">
        <v>588</v>
      </c>
    </row>
    <row r="276" spans="1:11" x14ac:dyDescent="0.35">
      <c r="A276" s="1495"/>
      <c r="B276" s="1489">
        <v>271</v>
      </c>
      <c r="C276" s="1489" t="s">
        <v>17</v>
      </c>
      <c r="D276" s="1490">
        <v>43.4</v>
      </c>
      <c r="E276" s="1491">
        <f t="shared" si="9"/>
        <v>467.15325999999999</v>
      </c>
      <c r="F276" s="1489" t="s">
        <v>351</v>
      </c>
      <c r="G276" s="1496">
        <v>1</v>
      </c>
      <c r="H276" s="1489" t="s">
        <v>431</v>
      </c>
      <c r="I276" s="1490" t="s">
        <v>469</v>
      </c>
      <c r="J276" s="1493" t="s">
        <v>79</v>
      </c>
      <c r="K276" s="1494" t="s">
        <v>587</v>
      </c>
    </row>
    <row r="277" spans="1:11" x14ac:dyDescent="0.35">
      <c r="A277" s="1495"/>
      <c r="B277" s="1489">
        <v>272</v>
      </c>
      <c r="C277" s="1489" t="s">
        <v>17</v>
      </c>
      <c r="D277" s="1490">
        <v>43.4</v>
      </c>
      <c r="E277" s="1491">
        <f t="shared" si="9"/>
        <v>467.15325999999999</v>
      </c>
      <c r="F277" s="1489" t="s">
        <v>351</v>
      </c>
      <c r="G277" s="1489">
        <v>1</v>
      </c>
      <c r="H277" s="1489" t="s">
        <v>431</v>
      </c>
      <c r="I277" s="1490" t="s">
        <v>469</v>
      </c>
      <c r="J277" s="1493" t="s">
        <v>79</v>
      </c>
      <c r="K277" s="1494" t="s">
        <v>587</v>
      </c>
    </row>
    <row r="278" spans="1:11" ht="30" x14ac:dyDescent="0.35">
      <c r="A278" s="1495"/>
      <c r="B278" s="1489">
        <v>273</v>
      </c>
      <c r="C278" s="1489" t="s">
        <v>346</v>
      </c>
      <c r="D278" s="1490">
        <v>50.8</v>
      </c>
      <c r="E278" s="1491">
        <f t="shared" si="9"/>
        <v>546.80611999999996</v>
      </c>
      <c r="F278" s="1489" t="s">
        <v>351</v>
      </c>
      <c r="G278" s="1489">
        <v>1</v>
      </c>
      <c r="H278" s="1489" t="s">
        <v>431</v>
      </c>
      <c r="I278" s="1490" t="s">
        <v>486</v>
      </c>
      <c r="J278" s="1493">
        <v>74</v>
      </c>
      <c r="K278" s="1494" t="s">
        <v>590</v>
      </c>
    </row>
    <row r="279" spans="1:11" x14ac:dyDescent="0.35">
      <c r="A279" s="1495"/>
      <c r="B279" s="1489">
        <v>274</v>
      </c>
      <c r="C279" s="1489" t="s">
        <v>346</v>
      </c>
      <c r="D279" s="1490">
        <v>39.200000000000003</v>
      </c>
      <c r="E279" s="1491">
        <f t="shared" si="9"/>
        <v>421.94488000000001</v>
      </c>
      <c r="F279" s="1489" t="s">
        <v>351</v>
      </c>
      <c r="G279" s="1489">
        <v>1</v>
      </c>
      <c r="H279" s="1489" t="s">
        <v>431</v>
      </c>
      <c r="I279" s="1490" t="s">
        <v>486</v>
      </c>
      <c r="J279" s="1493">
        <v>51</v>
      </c>
      <c r="K279" s="1489" t="s">
        <v>494</v>
      </c>
    </row>
    <row r="280" spans="1:11" x14ac:dyDescent="0.35">
      <c r="A280" s="1495"/>
      <c r="B280" s="1489">
        <v>275</v>
      </c>
      <c r="C280" s="1489" t="s">
        <v>16</v>
      </c>
      <c r="D280" s="1490">
        <v>57.8</v>
      </c>
      <c r="E280" s="1491">
        <f t="shared" si="9"/>
        <v>622.15341999999998</v>
      </c>
      <c r="F280" s="1489" t="s">
        <v>351</v>
      </c>
      <c r="G280" s="1489">
        <v>2</v>
      </c>
      <c r="H280" s="1489" t="s">
        <v>431</v>
      </c>
      <c r="I280" s="1490" t="s">
        <v>584</v>
      </c>
      <c r="J280" s="1493">
        <v>30</v>
      </c>
      <c r="K280" s="1489" t="s">
        <v>591</v>
      </c>
    </row>
    <row r="281" spans="1:11" x14ac:dyDescent="0.35">
      <c r="A281" s="1495"/>
      <c r="B281" s="1489">
        <v>276</v>
      </c>
      <c r="C281" s="1489" t="s">
        <v>16</v>
      </c>
      <c r="D281" s="1490">
        <v>57.8</v>
      </c>
      <c r="E281" s="1491">
        <f t="shared" si="9"/>
        <v>622.15341999999998</v>
      </c>
      <c r="F281" s="1489" t="s">
        <v>351</v>
      </c>
      <c r="G281" s="1489">
        <v>2</v>
      </c>
      <c r="H281" s="1489" t="s">
        <v>431</v>
      </c>
      <c r="I281" s="1490" t="s">
        <v>584</v>
      </c>
      <c r="J281" s="1493">
        <v>30</v>
      </c>
      <c r="K281" s="1489" t="s">
        <v>518</v>
      </c>
    </row>
    <row r="282" spans="1:11" ht="30" x14ac:dyDescent="0.35">
      <c r="A282" s="1495"/>
      <c r="B282" s="1489">
        <v>277</v>
      </c>
      <c r="C282" s="1489" t="s">
        <v>17</v>
      </c>
      <c r="D282" s="1490">
        <v>50.1</v>
      </c>
      <c r="E282" s="1491">
        <f t="shared" si="9"/>
        <v>539.27139</v>
      </c>
      <c r="F282" s="1489" t="s">
        <v>351</v>
      </c>
      <c r="G282" s="1489">
        <v>1</v>
      </c>
      <c r="H282" s="1489" t="s">
        <v>431</v>
      </c>
      <c r="I282" s="1490" t="s">
        <v>469</v>
      </c>
      <c r="J282" s="1498" t="s">
        <v>79</v>
      </c>
      <c r="K282" s="1494" t="s">
        <v>592</v>
      </c>
    </row>
    <row r="283" spans="1:11" ht="30" x14ac:dyDescent="0.35">
      <c r="A283" s="1495"/>
      <c r="B283" s="1489">
        <v>278</v>
      </c>
      <c r="C283" s="1489" t="s">
        <v>16</v>
      </c>
      <c r="D283" s="1490">
        <v>100.1</v>
      </c>
      <c r="E283" s="1491">
        <f t="shared" si="9"/>
        <v>1077.4663899999998</v>
      </c>
      <c r="F283" s="1489" t="s">
        <v>349</v>
      </c>
      <c r="G283" s="1489">
        <v>2</v>
      </c>
      <c r="H283" s="1489" t="s">
        <v>431</v>
      </c>
      <c r="I283" s="1490" t="s">
        <v>469</v>
      </c>
      <c r="J283" s="1493" t="s">
        <v>79</v>
      </c>
      <c r="K283" s="1494" t="s">
        <v>592</v>
      </c>
    </row>
    <row r="284" spans="1:11" ht="30" x14ac:dyDescent="0.35">
      <c r="A284" s="1495"/>
      <c r="B284" s="1489">
        <v>279</v>
      </c>
      <c r="C284" s="1489" t="s">
        <v>16</v>
      </c>
      <c r="D284" s="1490">
        <v>57.8</v>
      </c>
      <c r="E284" s="1491">
        <f t="shared" si="9"/>
        <v>622.15341999999998</v>
      </c>
      <c r="F284" s="1489" t="s">
        <v>347</v>
      </c>
      <c r="G284" s="1489">
        <v>2</v>
      </c>
      <c r="H284" s="1489" t="s">
        <v>431</v>
      </c>
      <c r="I284" s="1490" t="s">
        <v>525</v>
      </c>
      <c r="J284" s="1493">
        <v>219</v>
      </c>
      <c r="K284" s="1494" t="s">
        <v>593</v>
      </c>
    </row>
    <row r="285" spans="1:11" x14ac:dyDescent="0.35">
      <c r="A285" s="1495"/>
      <c r="B285" s="1489">
        <v>280</v>
      </c>
      <c r="C285" s="1489" t="s">
        <v>16</v>
      </c>
      <c r="D285" s="1490">
        <v>57.8</v>
      </c>
      <c r="E285" s="1491">
        <f t="shared" si="9"/>
        <v>622.15341999999998</v>
      </c>
      <c r="F285" s="1489" t="s">
        <v>347</v>
      </c>
      <c r="G285" s="1489">
        <v>2</v>
      </c>
      <c r="H285" s="1489" t="s">
        <v>431</v>
      </c>
      <c r="I285" s="1490" t="s">
        <v>525</v>
      </c>
      <c r="J285" s="1493">
        <v>219</v>
      </c>
      <c r="K285" s="1494" t="s">
        <v>594</v>
      </c>
    </row>
    <row r="286" spans="1:11" x14ac:dyDescent="0.35">
      <c r="A286" s="1495"/>
      <c r="B286" s="1489">
        <v>281</v>
      </c>
      <c r="C286" s="1489" t="s">
        <v>16</v>
      </c>
      <c r="D286" s="1490">
        <v>69.599999999999994</v>
      </c>
      <c r="E286" s="1491">
        <f t="shared" si="9"/>
        <v>749.16743999999994</v>
      </c>
      <c r="F286" s="1489" t="s">
        <v>347</v>
      </c>
      <c r="G286" s="1489">
        <v>2</v>
      </c>
      <c r="H286" s="1489" t="s">
        <v>431</v>
      </c>
      <c r="I286" s="1490" t="s">
        <v>584</v>
      </c>
      <c r="J286" s="1493">
        <v>89</v>
      </c>
      <c r="K286" s="1489" t="s">
        <v>595</v>
      </c>
    </row>
    <row r="287" spans="1:11" x14ac:dyDescent="0.35">
      <c r="A287" s="1495"/>
      <c r="B287" s="1489">
        <v>282</v>
      </c>
      <c r="C287" s="1489" t="s">
        <v>16</v>
      </c>
      <c r="D287" s="1490">
        <v>69.599999999999994</v>
      </c>
      <c r="E287" s="1491">
        <f t="shared" si="9"/>
        <v>749.16743999999994</v>
      </c>
      <c r="F287" s="1489" t="s">
        <v>347</v>
      </c>
      <c r="G287" s="1489">
        <v>2</v>
      </c>
      <c r="H287" s="1489" t="s">
        <v>431</v>
      </c>
      <c r="I287" s="1490" t="s">
        <v>584</v>
      </c>
      <c r="J287" s="1493">
        <v>89</v>
      </c>
      <c r="K287" s="1489" t="s">
        <v>518</v>
      </c>
    </row>
    <row r="288" spans="1:11" x14ac:dyDescent="0.35">
      <c r="A288" s="1495"/>
      <c r="B288" s="1489">
        <v>283</v>
      </c>
      <c r="C288" s="1489" t="s">
        <v>16</v>
      </c>
      <c r="D288" s="1490">
        <v>69.599999999999994</v>
      </c>
      <c r="E288" s="1491">
        <f t="shared" si="9"/>
        <v>749.16743999999994</v>
      </c>
      <c r="F288" s="1489" t="s">
        <v>347</v>
      </c>
      <c r="G288" s="1489">
        <v>2</v>
      </c>
      <c r="H288" s="1489" t="s">
        <v>431</v>
      </c>
      <c r="I288" s="1490" t="s">
        <v>584</v>
      </c>
      <c r="J288" s="1493">
        <v>89</v>
      </c>
      <c r="K288" s="1489" t="s">
        <v>596</v>
      </c>
    </row>
    <row r="289" spans="1:11" x14ac:dyDescent="0.35">
      <c r="A289" s="1495"/>
      <c r="B289" s="1489">
        <v>284</v>
      </c>
      <c r="C289" s="1489" t="s">
        <v>16</v>
      </c>
      <c r="D289" s="1490">
        <v>69.599999999999994</v>
      </c>
      <c r="E289" s="1491">
        <f t="shared" si="9"/>
        <v>749.16743999999994</v>
      </c>
      <c r="F289" s="1489" t="s">
        <v>347</v>
      </c>
      <c r="G289" s="1489">
        <v>2</v>
      </c>
      <c r="H289" s="1489" t="s">
        <v>431</v>
      </c>
      <c r="I289" s="1490" t="s">
        <v>584</v>
      </c>
      <c r="J289" s="1493">
        <v>89</v>
      </c>
      <c r="K289" s="1489" t="s">
        <v>518</v>
      </c>
    </row>
    <row r="290" spans="1:11" x14ac:dyDescent="0.35">
      <c r="A290" s="1495"/>
      <c r="B290" s="1489">
        <v>285</v>
      </c>
      <c r="C290" s="1489" t="s">
        <v>16</v>
      </c>
      <c r="D290" s="1490">
        <v>87.3</v>
      </c>
      <c r="E290" s="1491">
        <f t="shared" si="9"/>
        <v>939.68846999999994</v>
      </c>
      <c r="F290" s="1489" t="s">
        <v>347</v>
      </c>
      <c r="G290" s="1489">
        <v>2</v>
      </c>
      <c r="H290" s="1489" t="s">
        <v>431</v>
      </c>
      <c r="I290" s="1490" t="s">
        <v>469</v>
      </c>
      <c r="J290" s="1493" t="s">
        <v>79</v>
      </c>
      <c r="K290" s="1494" t="s">
        <v>474</v>
      </c>
    </row>
    <row r="291" spans="1:11" x14ac:dyDescent="0.35">
      <c r="A291" s="1495"/>
      <c r="B291" s="1489">
        <v>286</v>
      </c>
      <c r="C291" s="1489" t="s">
        <v>16</v>
      </c>
      <c r="D291" s="1490">
        <v>87.3</v>
      </c>
      <c r="E291" s="1491">
        <f t="shared" si="9"/>
        <v>939.68846999999994</v>
      </c>
      <c r="F291" s="1489" t="s">
        <v>347</v>
      </c>
      <c r="G291" s="1489">
        <v>2</v>
      </c>
      <c r="H291" s="1489" t="s">
        <v>431</v>
      </c>
      <c r="I291" s="1490" t="s">
        <v>469</v>
      </c>
      <c r="J291" s="1493" t="s">
        <v>79</v>
      </c>
      <c r="K291" s="1489" t="s">
        <v>597</v>
      </c>
    </row>
    <row r="292" spans="1:11" x14ac:dyDescent="0.35">
      <c r="A292" s="1495"/>
      <c r="B292" s="1489">
        <v>287</v>
      </c>
      <c r="C292" s="1489" t="s">
        <v>16</v>
      </c>
      <c r="D292" s="1490">
        <v>69.599999999999994</v>
      </c>
      <c r="E292" s="1491">
        <f t="shared" si="9"/>
        <v>749.16743999999994</v>
      </c>
      <c r="F292" s="1489" t="s">
        <v>347</v>
      </c>
      <c r="G292" s="1489">
        <v>2</v>
      </c>
      <c r="H292" s="1489" t="s">
        <v>431</v>
      </c>
      <c r="I292" s="1490" t="s">
        <v>584</v>
      </c>
      <c r="J292" s="1493">
        <v>89</v>
      </c>
      <c r="K292" s="1489" t="s">
        <v>595</v>
      </c>
    </row>
    <row r="293" spans="1:11" x14ac:dyDescent="0.35">
      <c r="A293" s="1495"/>
      <c r="B293" s="1489">
        <v>288</v>
      </c>
      <c r="C293" s="1489" t="s">
        <v>16</v>
      </c>
      <c r="D293" s="1490">
        <v>69.599999999999994</v>
      </c>
      <c r="E293" s="1491">
        <f t="shared" si="9"/>
        <v>749.16743999999994</v>
      </c>
      <c r="F293" s="1489" t="s">
        <v>347</v>
      </c>
      <c r="G293" s="1489">
        <v>2</v>
      </c>
      <c r="H293" s="1489" t="s">
        <v>431</v>
      </c>
      <c r="I293" s="1490" t="s">
        <v>584</v>
      </c>
      <c r="J293" s="1493">
        <v>89</v>
      </c>
      <c r="K293" s="1489" t="s">
        <v>518</v>
      </c>
    </row>
    <row r="294" spans="1:11" x14ac:dyDescent="0.35">
      <c r="A294" s="1495"/>
      <c r="B294" s="1489">
        <v>289</v>
      </c>
      <c r="C294" s="1489" t="s">
        <v>17</v>
      </c>
      <c r="D294" s="1490">
        <v>59.4</v>
      </c>
      <c r="E294" s="1491">
        <f t="shared" si="9"/>
        <v>639.37565999999993</v>
      </c>
      <c r="F294" s="1489" t="s">
        <v>351</v>
      </c>
      <c r="G294" s="1489">
        <v>1</v>
      </c>
      <c r="H294" s="1489" t="s">
        <v>431</v>
      </c>
      <c r="I294" s="1490" t="s">
        <v>469</v>
      </c>
      <c r="J294" s="1493" t="s">
        <v>79</v>
      </c>
      <c r="K294" s="1489" t="s">
        <v>585</v>
      </c>
    </row>
    <row r="295" spans="1:11" x14ac:dyDescent="0.35">
      <c r="A295" s="1495"/>
      <c r="B295" s="1489">
        <v>290</v>
      </c>
      <c r="C295" s="1489" t="s">
        <v>16</v>
      </c>
      <c r="D295" s="1490">
        <v>66.5</v>
      </c>
      <c r="E295" s="1491">
        <f t="shared" si="9"/>
        <v>715.79935</v>
      </c>
      <c r="F295" s="1489" t="s">
        <v>347</v>
      </c>
      <c r="G295" s="1489">
        <v>2</v>
      </c>
      <c r="H295" s="1489" t="s">
        <v>431</v>
      </c>
      <c r="I295" s="1490" t="s">
        <v>584</v>
      </c>
      <c r="J295" s="1493">
        <v>108</v>
      </c>
      <c r="K295" s="1489" t="s">
        <v>518</v>
      </c>
    </row>
    <row r="296" spans="1:11" x14ac:dyDescent="0.35">
      <c r="A296" s="1495"/>
      <c r="B296" s="1489">
        <v>291</v>
      </c>
      <c r="C296" s="1489" t="s">
        <v>16</v>
      </c>
      <c r="D296" s="1490">
        <v>69.599999999999994</v>
      </c>
      <c r="E296" s="1491">
        <f t="shared" si="9"/>
        <v>749.16743999999994</v>
      </c>
      <c r="F296" s="1489" t="s">
        <v>347</v>
      </c>
      <c r="G296" s="1489">
        <v>2</v>
      </c>
      <c r="H296" s="1489" t="s">
        <v>431</v>
      </c>
      <c r="I296" s="1490" t="s">
        <v>584</v>
      </c>
      <c r="J296" s="1493">
        <v>108</v>
      </c>
      <c r="K296" s="1489" t="s">
        <v>595</v>
      </c>
    </row>
    <row r="297" spans="1:11" x14ac:dyDescent="0.35">
      <c r="A297" s="1495"/>
      <c r="B297" s="1489">
        <v>292</v>
      </c>
      <c r="C297" s="1489" t="s">
        <v>17</v>
      </c>
      <c r="D297" s="1490">
        <v>59.4</v>
      </c>
      <c r="E297" s="1491">
        <f t="shared" si="9"/>
        <v>639.37565999999993</v>
      </c>
      <c r="F297" s="1489" t="s">
        <v>351</v>
      </c>
      <c r="G297" s="1489">
        <v>1</v>
      </c>
      <c r="H297" s="1489" t="s">
        <v>431</v>
      </c>
      <c r="I297" s="1490" t="s">
        <v>469</v>
      </c>
      <c r="J297" s="1493" t="s">
        <v>79</v>
      </c>
      <c r="K297" s="1489" t="s">
        <v>585</v>
      </c>
    </row>
    <row r="298" spans="1:11" x14ac:dyDescent="0.35">
      <c r="A298" s="1495"/>
      <c r="B298" s="1489">
        <v>293</v>
      </c>
      <c r="C298" s="1489" t="s">
        <v>17</v>
      </c>
      <c r="D298" s="1490">
        <v>59.4</v>
      </c>
      <c r="E298" s="1491">
        <f t="shared" si="9"/>
        <v>639.37565999999993</v>
      </c>
      <c r="F298" s="1489" t="s">
        <v>351</v>
      </c>
      <c r="G298" s="1489">
        <v>1</v>
      </c>
      <c r="H298" s="1489" t="s">
        <v>431</v>
      </c>
      <c r="I298" s="1490" t="s">
        <v>469</v>
      </c>
      <c r="J298" s="1493" t="s">
        <v>79</v>
      </c>
      <c r="K298" s="1489" t="s">
        <v>585</v>
      </c>
    </row>
    <row r="299" spans="1:11" x14ac:dyDescent="0.35">
      <c r="A299" s="1495"/>
      <c r="B299" s="1489">
        <v>294</v>
      </c>
      <c r="C299" s="1489" t="s">
        <v>16</v>
      </c>
      <c r="D299" s="1490">
        <v>66.5</v>
      </c>
      <c r="E299" s="1491">
        <f t="shared" si="9"/>
        <v>715.79935</v>
      </c>
      <c r="F299" s="1489" t="s">
        <v>347</v>
      </c>
      <c r="G299" s="1489">
        <v>2</v>
      </c>
      <c r="H299" s="1489" t="s">
        <v>431</v>
      </c>
      <c r="I299" s="1490" t="s">
        <v>584</v>
      </c>
      <c r="J299" s="1493">
        <v>89</v>
      </c>
      <c r="K299" s="1489" t="s">
        <v>518</v>
      </c>
    </row>
    <row r="300" spans="1:11" x14ac:dyDescent="0.35">
      <c r="A300" s="1495"/>
      <c r="B300" s="1489">
        <v>295</v>
      </c>
      <c r="C300" s="1489" t="s">
        <v>16</v>
      </c>
      <c r="D300" s="1490">
        <v>69.599999999999994</v>
      </c>
      <c r="E300" s="1491">
        <f t="shared" si="9"/>
        <v>749.16743999999994</v>
      </c>
      <c r="F300" s="1489" t="s">
        <v>347</v>
      </c>
      <c r="G300" s="1497">
        <v>2</v>
      </c>
      <c r="H300" s="1489" t="s">
        <v>431</v>
      </c>
      <c r="I300" s="1490" t="s">
        <v>598</v>
      </c>
      <c r="J300" s="1493">
        <v>89</v>
      </c>
      <c r="K300" s="1489" t="s">
        <v>595</v>
      </c>
    </row>
    <row r="301" spans="1:11" x14ac:dyDescent="0.35">
      <c r="A301" s="1495"/>
      <c r="B301" s="1489">
        <v>296</v>
      </c>
      <c r="C301" s="1489" t="s">
        <v>17</v>
      </c>
      <c r="D301" s="1490">
        <v>59.4</v>
      </c>
      <c r="E301" s="1491">
        <f t="shared" si="9"/>
        <v>639.37565999999993</v>
      </c>
      <c r="F301" s="1489" t="s">
        <v>351</v>
      </c>
      <c r="G301" s="1489">
        <v>1</v>
      </c>
      <c r="H301" s="1489" t="s">
        <v>431</v>
      </c>
      <c r="I301" s="1490" t="s">
        <v>469</v>
      </c>
      <c r="J301" s="1493" t="s">
        <v>79</v>
      </c>
      <c r="K301" s="1489" t="s">
        <v>599</v>
      </c>
    </row>
    <row r="302" spans="1:11" x14ac:dyDescent="0.35">
      <c r="A302" s="1499"/>
      <c r="B302" s="1489">
        <v>297</v>
      </c>
      <c r="C302" s="1489" t="s">
        <v>346</v>
      </c>
      <c r="D302" s="1490">
        <v>59.4</v>
      </c>
      <c r="E302" s="1491">
        <f t="shared" si="9"/>
        <v>639.37565999999993</v>
      </c>
      <c r="F302" s="1489" t="s">
        <v>351</v>
      </c>
      <c r="G302" s="1496">
        <v>1</v>
      </c>
      <c r="H302" s="1489" t="s">
        <v>431</v>
      </c>
      <c r="I302" s="1490" t="s">
        <v>469</v>
      </c>
      <c r="J302" s="1493" t="s">
        <v>79</v>
      </c>
      <c r="K302" s="1489" t="s">
        <v>565</v>
      </c>
    </row>
    <row r="303" spans="1:11" x14ac:dyDescent="0.35">
      <c r="A303" s="1500" t="s">
        <v>344</v>
      </c>
      <c r="B303" s="1501">
        <v>298</v>
      </c>
      <c r="C303" s="1501" t="s">
        <v>346</v>
      </c>
      <c r="D303" s="1502">
        <v>40.1</v>
      </c>
      <c r="E303" s="1503">
        <f t="shared" si="9"/>
        <v>431.63238999999999</v>
      </c>
      <c r="F303" s="1501" t="s">
        <v>351</v>
      </c>
      <c r="G303" s="1501">
        <v>1</v>
      </c>
      <c r="H303" s="1501" t="s">
        <v>431</v>
      </c>
      <c r="I303" s="1502" t="s">
        <v>519</v>
      </c>
      <c r="J303" s="1504">
        <v>119</v>
      </c>
      <c r="K303" s="1501" t="s">
        <v>518</v>
      </c>
    </row>
    <row r="304" spans="1:11" x14ac:dyDescent="0.35">
      <c r="A304" s="1505"/>
      <c r="B304" s="1501">
        <v>299</v>
      </c>
      <c r="C304" s="1501" t="s">
        <v>15</v>
      </c>
      <c r="D304" s="1506">
        <v>103.4</v>
      </c>
      <c r="E304" s="1507">
        <f t="shared" si="9"/>
        <v>1112.9872600000001</v>
      </c>
      <c r="F304" s="1501" t="s">
        <v>352</v>
      </c>
      <c r="G304" s="1508">
        <v>3</v>
      </c>
      <c r="H304" s="1501" t="s">
        <v>480</v>
      </c>
      <c r="I304" s="1502" t="s">
        <v>600</v>
      </c>
      <c r="J304" s="1509">
        <v>468</v>
      </c>
      <c r="K304" s="1501" t="s">
        <v>601</v>
      </c>
    </row>
    <row r="305" spans="1:11" x14ac:dyDescent="0.35">
      <c r="A305" s="1505"/>
      <c r="B305" s="1501">
        <v>300</v>
      </c>
      <c r="C305" s="1501" t="s">
        <v>15</v>
      </c>
      <c r="D305" s="1506">
        <v>103.4</v>
      </c>
      <c r="E305" s="1507">
        <f t="shared" si="9"/>
        <v>1112.9872600000001</v>
      </c>
      <c r="F305" s="1501" t="s">
        <v>352</v>
      </c>
      <c r="G305" s="1508">
        <v>3</v>
      </c>
      <c r="H305" s="1501" t="s">
        <v>480</v>
      </c>
      <c r="I305" s="1502" t="s">
        <v>600</v>
      </c>
      <c r="J305" s="1504">
        <v>468</v>
      </c>
      <c r="K305" s="1501" t="s">
        <v>601</v>
      </c>
    </row>
    <row r="306" spans="1:11" x14ac:dyDescent="0.35">
      <c r="A306" s="1505"/>
      <c r="B306" s="1501">
        <v>301</v>
      </c>
      <c r="C306" s="1501" t="s">
        <v>15</v>
      </c>
      <c r="D306" s="1506">
        <v>103.4</v>
      </c>
      <c r="E306" s="1507">
        <f t="shared" si="9"/>
        <v>1112.9872600000001</v>
      </c>
      <c r="F306" s="1501" t="s">
        <v>352</v>
      </c>
      <c r="G306" s="1508">
        <v>3</v>
      </c>
      <c r="H306" s="1501" t="s">
        <v>480</v>
      </c>
      <c r="I306" s="1502" t="s">
        <v>600</v>
      </c>
      <c r="J306" s="1504">
        <v>468</v>
      </c>
      <c r="K306" s="1501" t="s">
        <v>601</v>
      </c>
    </row>
    <row r="307" spans="1:11" ht="30" x14ac:dyDescent="0.35">
      <c r="A307" s="1505"/>
      <c r="B307" s="1501">
        <v>302</v>
      </c>
      <c r="C307" s="1501" t="s">
        <v>17</v>
      </c>
      <c r="D307" s="1502">
        <v>84.7</v>
      </c>
      <c r="E307" s="1503">
        <f t="shared" si="9"/>
        <v>911.70232999999996</v>
      </c>
      <c r="F307" s="1501" t="s">
        <v>352</v>
      </c>
      <c r="G307" s="1501">
        <v>1</v>
      </c>
      <c r="H307" s="1501" t="s">
        <v>431</v>
      </c>
      <c r="I307" s="1502" t="s">
        <v>584</v>
      </c>
      <c r="J307" s="1504">
        <v>138</v>
      </c>
      <c r="K307" s="1510" t="s">
        <v>602</v>
      </c>
    </row>
    <row r="308" spans="1:11" ht="30" x14ac:dyDescent="0.35">
      <c r="A308" s="1505"/>
      <c r="B308" s="1501">
        <v>303</v>
      </c>
      <c r="C308" s="1501" t="s">
        <v>17</v>
      </c>
      <c r="D308" s="1502">
        <v>84.7</v>
      </c>
      <c r="E308" s="1503">
        <f t="shared" si="9"/>
        <v>911.70232999999996</v>
      </c>
      <c r="F308" s="1501" t="s">
        <v>352</v>
      </c>
      <c r="G308" s="1501">
        <v>1</v>
      </c>
      <c r="H308" s="1501" t="s">
        <v>431</v>
      </c>
      <c r="I308" s="1502" t="s">
        <v>603</v>
      </c>
      <c r="J308" s="1504" t="s">
        <v>79</v>
      </c>
      <c r="K308" s="1510" t="s">
        <v>602</v>
      </c>
    </row>
    <row r="309" spans="1:11" x14ac:dyDescent="0.35">
      <c r="A309" s="1505"/>
      <c r="B309" s="1501">
        <v>304</v>
      </c>
      <c r="C309" s="1501" t="s">
        <v>17</v>
      </c>
      <c r="D309" s="1502">
        <v>54.1</v>
      </c>
      <c r="E309" s="1503">
        <f t="shared" si="9"/>
        <v>582.32699000000002</v>
      </c>
      <c r="F309" s="1501" t="s">
        <v>351</v>
      </c>
      <c r="G309" s="1501">
        <v>1</v>
      </c>
      <c r="H309" s="1501" t="s">
        <v>431</v>
      </c>
      <c r="I309" s="1502" t="s">
        <v>584</v>
      </c>
      <c r="J309" s="1504">
        <v>86</v>
      </c>
      <c r="K309" s="1501" t="s">
        <v>565</v>
      </c>
    </row>
    <row r="310" spans="1:11" x14ac:dyDescent="0.35">
      <c r="A310" s="1505"/>
      <c r="B310" s="1501">
        <v>305</v>
      </c>
      <c r="C310" s="1501" t="s">
        <v>17</v>
      </c>
      <c r="D310" s="1502">
        <v>54.1</v>
      </c>
      <c r="E310" s="1503">
        <f t="shared" si="9"/>
        <v>582.32699000000002</v>
      </c>
      <c r="F310" s="1501" t="s">
        <v>351</v>
      </c>
      <c r="G310" s="1501">
        <v>1</v>
      </c>
      <c r="H310" s="1501" t="s">
        <v>431</v>
      </c>
      <c r="I310" s="1502" t="s">
        <v>525</v>
      </c>
      <c r="J310" s="1504">
        <v>143</v>
      </c>
      <c r="K310" s="1510" t="s">
        <v>575</v>
      </c>
    </row>
    <row r="311" spans="1:11" x14ac:dyDescent="0.35">
      <c r="A311" s="1505"/>
      <c r="B311" s="1501">
        <v>306</v>
      </c>
      <c r="C311" s="1501" t="s">
        <v>17</v>
      </c>
      <c r="D311" s="1502">
        <v>65.5</v>
      </c>
      <c r="E311" s="1503">
        <f>SUM(D311*10.7639)</f>
        <v>705.03544999999997</v>
      </c>
      <c r="F311" s="1501" t="s">
        <v>351</v>
      </c>
      <c r="G311" s="1501">
        <v>1</v>
      </c>
      <c r="H311" s="1501" t="s">
        <v>431</v>
      </c>
      <c r="I311" s="1502" t="s">
        <v>604</v>
      </c>
      <c r="J311" s="1504" t="s">
        <v>79</v>
      </c>
      <c r="K311" s="1510" t="s">
        <v>562</v>
      </c>
    </row>
    <row r="312" spans="1:11" x14ac:dyDescent="0.35">
      <c r="A312" s="1505"/>
      <c r="B312" s="1501">
        <v>307</v>
      </c>
      <c r="C312" s="1501" t="s">
        <v>51</v>
      </c>
      <c r="D312" s="1502">
        <v>89.5</v>
      </c>
      <c r="E312" s="1503">
        <f t="shared" ref="E312:E321" si="10">SUM(D312*10.7639)</f>
        <v>963.36905000000002</v>
      </c>
      <c r="F312" s="1501" t="s">
        <v>356</v>
      </c>
      <c r="G312" s="1511">
        <v>2</v>
      </c>
      <c r="H312" s="1501" t="s">
        <v>431</v>
      </c>
      <c r="I312" s="1502" t="s">
        <v>605</v>
      </c>
      <c r="J312" s="1504">
        <v>196</v>
      </c>
      <c r="K312" s="1501" t="s">
        <v>580</v>
      </c>
    </row>
    <row r="313" spans="1:11" x14ac:dyDescent="0.35">
      <c r="A313" s="1505"/>
      <c r="B313" s="1501">
        <v>308</v>
      </c>
      <c r="C313" s="1501" t="s">
        <v>15</v>
      </c>
      <c r="D313" s="1506">
        <v>103.4</v>
      </c>
      <c r="E313" s="1507">
        <f t="shared" si="10"/>
        <v>1112.9872600000001</v>
      </c>
      <c r="F313" s="1501" t="s">
        <v>352</v>
      </c>
      <c r="G313" s="1508">
        <v>3</v>
      </c>
      <c r="H313" s="1501" t="s">
        <v>434</v>
      </c>
      <c r="I313" s="1502" t="s">
        <v>606</v>
      </c>
      <c r="J313" s="1504">
        <v>324</v>
      </c>
      <c r="K313" s="1501" t="s">
        <v>580</v>
      </c>
    </row>
    <row r="314" spans="1:11" x14ac:dyDescent="0.35">
      <c r="A314" s="1505"/>
      <c r="B314" s="1501">
        <v>309</v>
      </c>
      <c r="C314" s="1501" t="s">
        <v>15</v>
      </c>
      <c r="D314" s="1506">
        <v>103.4</v>
      </c>
      <c r="E314" s="1507">
        <f t="shared" si="10"/>
        <v>1112.9872600000001</v>
      </c>
      <c r="F314" s="1501" t="s">
        <v>352</v>
      </c>
      <c r="G314" s="1508">
        <v>3</v>
      </c>
      <c r="H314" s="1501" t="s">
        <v>434</v>
      </c>
      <c r="I314" s="1502" t="s">
        <v>606</v>
      </c>
      <c r="J314" s="1504">
        <v>324</v>
      </c>
      <c r="K314" s="1501" t="s">
        <v>580</v>
      </c>
    </row>
    <row r="315" spans="1:11" x14ac:dyDescent="0.35">
      <c r="A315" s="1505"/>
      <c r="B315" s="1501">
        <v>310</v>
      </c>
      <c r="C315" s="1501" t="s">
        <v>15</v>
      </c>
      <c r="D315" s="1506">
        <v>103.4</v>
      </c>
      <c r="E315" s="1507">
        <f t="shared" si="10"/>
        <v>1112.9872600000001</v>
      </c>
      <c r="F315" s="1501" t="s">
        <v>352</v>
      </c>
      <c r="G315" s="1508">
        <v>3</v>
      </c>
      <c r="H315" s="1501" t="s">
        <v>434</v>
      </c>
      <c r="I315" s="1502" t="s">
        <v>606</v>
      </c>
      <c r="J315" s="1504">
        <v>324</v>
      </c>
      <c r="K315" s="1501" t="s">
        <v>580</v>
      </c>
    </row>
    <row r="316" spans="1:11" x14ac:dyDescent="0.35">
      <c r="A316" s="1505"/>
      <c r="B316" s="1501">
        <v>311</v>
      </c>
      <c r="C316" s="1501" t="s">
        <v>346</v>
      </c>
      <c r="D316" s="1502">
        <v>40.1</v>
      </c>
      <c r="E316" s="1503">
        <f t="shared" si="10"/>
        <v>431.63238999999999</v>
      </c>
      <c r="F316" s="1501" t="s">
        <v>351</v>
      </c>
      <c r="G316" s="1501">
        <v>1</v>
      </c>
      <c r="H316" s="1501" t="s">
        <v>431</v>
      </c>
      <c r="I316" s="1502" t="s">
        <v>435</v>
      </c>
      <c r="J316" s="1504">
        <v>173</v>
      </c>
      <c r="K316" s="1501" t="s">
        <v>580</v>
      </c>
    </row>
    <row r="317" spans="1:11" x14ac:dyDescent="0.35">
      <c r="A317" s="1505"/>
      <c r="B317" s="1501">
        <v>312</v>
      </c>
      <c r="C317" s="1501" t="s">
        <v>346</v>
      </c>
      <c r="D317" s="1502">
        <v>42</v>
      </c>
      <c r="E317" s="1503">
        <f t="shared" si="10"/>
        <v>452.0838</v>
      </c>
      <c r="F317" s="1501" t="s">
        <v>351</v>
      </c>
      <c r="G317" s="1501">
        <v>1</v>
      </c>
      <c r="H317" s="1501" t="s">
        <v>431</v>
      </c>
      <c r="I317" s="1502" t="s">
        <v>451</v>
      </c>
      <c r="J317" s="1504" t="s">
        <v>79</v>
      </c>
      <c r="K317" s="1501" t="s">
        <v>580</v>
      </c>
    </row>
    <row r="318" spans="1:11" x14ac:dyDescent="0.35">
      <c r="A318" s="1505"/>
      <c r="B318" s="1501">
        <v>313</v>
      </c>
      <c r="C318" s="1501" t="s">
        <v>346</v>
      </c>
      <c r="D318" s="1502">
        <v>42</v>
      </c>
      <c r="E318" s="1503">
        <f t="shared" si="10"/>
        <v>452.0838</v>
      </c>
      <c r="F318" s="1501" t="s">
        <v>351</v>
      </c>
      <c r="G318" s="1501">
        <v>1</v>
      </c>
      <c r="H318" s="1501" t="s">
        <v>431</v>
      </c>
      <c r="I318" s="1502" t="s">
        <v>451</v>
      </c>
      <c r="J318" s="1504" t="s">
        <v>79</v>
      </c>
      <c r="K318" s="1501" t="s">
        <v>580</v>
      </c>
    </row>
    <row r="319" spans="1:11" x14ac:dyDescent="0.35">
      <c r="A319" s="1505"/>
      <c r="B319" s="1501">
        <v>314</v>
      </c>
      <c r="C319" s="1501" t="s">
        <v>51</v>
      </c>
      <c r="D319" s="1502">
        <v>80.099999999999994</v>
      </c>
      <c r="E319" s="1503">
        <f t="shared" si="10"/>
        <v>862.18838999999991</v>
      </c>
      <c r="F319" s="1501" t="s">
        <v>347</v>
      </c>
      <c r="G319" s="1511">
        <v>2</v>
      </c>
      <c r="H319" s="1501" t="s">
        <v>431</v>
      </c>
      <c r="I319" s="1502" t="s">
        <v>607</v>
      </c>
      <c r="J319" s="1504">
        <v>33</v>
      </c>
      <c r="K319" s="1501" t="s">
        <v>580</v>
      </c>
    </row>
    <row r="320" spans="1:11" x14ac:dyDescent="0.35">
      <c r="A320" s="1505"/>
      <c r="B320" s="1501">
        <v>315</v>
      </c>
      <c r="C320" s="1501" t="s">
        <v>51</v>
      </c>
      <c r="D320" s="1502">
        <v>80.099999999999994</v>
      </c>
      <c r="E320" s="1503">
        <f t="shared" si="10"/>
        <v>862.18838999999991</v>
      </c>
      <c r="F320" s="1501" t="s">
        <v>347</v>
      </c>
      <c r="G320" s="1511">
        <v>2</v>
      </c>
      <c r="H320" s="1501" t="s">
        <v>431</v>
      </c>
      <c r="I320" s="1502" t="s">
        <v>607</v>
      </c>
      <c r="J320" s="1504">
        <v>33</v>
      </c>
      <c r="K320" s="1501" t="s">
        <v>580</v>
      </c>
    </row>
    <row r="321" spans="1:11" x14ac:dyDescent="0.35">
      <c r="A321" s="1505"/>
      <c r="B321" s="1501">
        <v>316</v>
      </c>
      <c r="C321" s="1501" t="s">
        <v>346</v>
      </c>
      <c r="D321" s="1502">
        <v>40.1</v>
      </c>
      <c r="E321" s="1503">
        <f t="shared" si="10"/>
        <v>431.63238999999999</v>
      </c>
      <c r="F321" s="1501" t="s">
        <v>351</v>
      </c>
      <c r="G321" s="1501">
        <v>1</v>
      </c>
      <c r="H321" s="1501" t="s">
        <v>431</v>
      </c>
      <c r="I321" s="1502" t="s">
        <v>435</v>
      </c>
      <c r="J321" s="1504">
        <v>158</v>
      </c>
      <c r="K321" s="1501" t="s">
        <v>580</v>
      </c>
    </row>
  </sheetData>
  <mergeCells count="24">
    <mergeCell ref="A221:A302"/>
    <mergeCell ref="A303:A321"/>
    <mergeCell ref="A30:A46"/>
    <mergeCell ref="A47:A90"/>
    <mergeCell ref="A91:A119"/>
    <mergeCell ref="A120:A146"/>
    <mergeCell ref="A147:A167"/>
    <mergeCell ref="A168:A220"/>
    <mergeCell ref="J3:J4"/>
    <mergeCell ref="K3:K4"/>
    <mergeCell ref="A5:A9"/>
    <mergeCell ref="A10:A18"/>
    <mergeCell ref="A19:A22"/>
    <mergeCell ref="A23:A29"/>
    <mergeCell ref="A1:K1"/>
    <mergeCell ref="A2:K2"/>
    <mergeCell ref="A3:A4"/>
    <mergeCell ref="B3:B4"/>
    <mergeCell ref="C3:C4"/>
    <mergeCell ref="D3:E3"/>
    <mergeCell ref="F3:F4"/>
    <mergeCell ref="G3:G4"/>
    <mergeCell ref="H3:H4"/>
    <mergeCell ref="I3:I4"/>
  </mergeCells>
  <pageMargins left="0.7" right="0.7" top="0.75" bottom="0.75" header="0.3" footer="0.3"/>
  <pageSetup paperSize="8" scale="47" fitToHeight="0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Marketing SoA</vt:lpstr>
      <vt:lpstr>Plot By Plot SoA</vt:lpstr>
      <vt:lpstr>Single &amp; Multi Family</vt:lpstr>
      <vt:lpstr>Block By Block SoA</vt:lpstr>
      <vt:lpstr>Commercial Units</vt:lpstr>
      <vt:lpstr>CIL Calculations</vt:lpstr>
      <vt:lpstr>Railing Schedule</vt:lpstr>
      <vt:lpstr>Ironmongery Schedule</vt:lpstr>
      <vt:lpstr>Plot-by-Plot Dwelling Info</vt:lpstr>
      <vt:lpstr>Modular Bathrooms</vt:lpstr>
      <vt:lpstr>14 - Affordable A</vt:lpstr>
      <vt:lpstr>23 - Affordable B</vt:lpstr>
      <vt:lpstr>35 - Affordable C</vt:lpstr>
      <vt:lpstr>55 - Affordable D</vt:lpstr>
      <vt:lpstr>74 - Affordable E </vt:lpstr>
      <vt:lpstr>'Block By Block SoA'!Print_Area</vt:lpstr>
      <vt:lpstr>'Plot By Plot SoA'!Print_Area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Alessio Testa</dc:creator>
  <cp:lastModifiedBy>Alessio Testa</cp:lastModifiedBy>
  <cp:lastPrinted>2026-01-08T13:55:20Z</cp:lastPrinted>
  <dcterms:created xsi:type="dcterms:W3CDTF">2023-11-24T07:49:57Z</dcterms:created>
  <dcterms:modified xsi:type="dcterms:W3CDTF">2026-01-08T16:43:33Z</dcterms:modified>
</cp:coreProperties>
</file>