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:\PROJECTS\19401\08-Exports\2026.03.12 - Updated Tenure Plan\02 - SoA\"/>
    </mc:Choice>
  </mc:AlternateContent>
  <xr:revisionPtr revIDLastSave="0" documentId="13_ncr:1_{004B2CD9-B944-4E58-AE1B-801BBBAD501A}" xr6:coauthVersionLast="47" xr6:coauthVersionMax="47" xr10:uidLastSave="{00000000-0000-0000-0000-000000000000}"/>
  <bookViews>
    <workbookView xWindow="-120" yWindow="-120" windowWidth="29040" windowHeight="15720" activeTab="2" xr2:uid="{741F4F2D-C1F1-4D2A-B830-0A6EE61DAC01}"/>
  </bookViews>
  <sheets>
    <sheet name="Proposed Construction Phasing " sheetId="21" r:id="rId1"/>
    <sheet name="Plot By Plot SoA" sheetId="1" r:id="rId2"/>
    <sheet name="Single &amp; Multi Family" sheetId="10" r:id="rId3"/>
    <sheet name="Marketing SoA" sheetId="17" r:id="rId4"/>
    <sheet name="Block By Block SoA" sheetId="2" r:id="rId5"/>
    <sheet name="Commercial Units" sheetId="11" r:id="rId6"/>
    <sheet name="CIL Calculations" sheetId="13" r:id="rId7"/>
    <sheet name="Railing Schedule" sheetId="14" r:id="rId8"/>
    <sheet name="Ironmongery Schedule" sheetId="15" r:id="rId9"/>
    <sheet name="Velux Schedule " sheetId="22" r:id="rId10"/>
    <sheet name="Plot-by-Plot Dwelling Info" sheetId="19" r:id="rId11"/>
    <sheet name="Plot By Plot Materials Schedule" sheetId="24" r:id="rId12"/>
    <sheet name="14 - Affordable A" sheetId="3" state="hidden" r:id="rId13"/>
    <sheet name="23 - Affordable B" sheetId="4" state="hidden" r:id="rId14"/>
    <sheet name="35 - Affordable C" sheetId="5" state="hidden" r:id="rId15"/>
    <sheet name="55 - Affordable D" sheetId="6" state="hidden" r:id="rId16"/>
    <sheet name="74 - Affordable E " sheetId="7" state="hidden" r:id="rId17"/>
  </sheets>
  <externalReferences>
    <externalReference r:id="rId18"/>
  </externalReferences>
  <definedNames>
    <definedName name="_xlnm._FilterDatabase" localSheetId="1" hidden="1">'Plot By Plot SoA'!$R$4:$S$362</definedName>
    <definedName name="_xlnm.Print_Area" localSheetId="4">'Block By Block SoA'!$A$1:$N$22</definedName>
    <definedName name="_xlnm.Print_Area" localSheetId="11">'Plot By Plot Materials Schedule'!$A$1:$S$335</definedName>
    <definedName name="_xlnm.Print_Area" localSheetId="1">'Plot By Plot SoA'!$A$1:$P$367</definedName>
    <definedName name="_xlnm.Print_Area" localSheetId="0">'Proposed Construction Phasing '!$A$1:$AB$328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" l="1"/>
  <c r="E18" i="10"/>
  <c r="D18" i="10"/>
  <c r="C18" i="10"/>
  <c r="F5" i="10"/>
  <c r="E5" i="10"/>
  <c r="D5" i="10"/>
  <c r="C5" i="10"/>
  <c r="O7" i="10" a="1"/>
  <c r="O7" i="10" s="1"/>
  <c r="O6" i="10" a="1"/>
  <c r="O6" i="10" s="1"/>
  <c r="O5" i="10" a="1"/>
  <c r="O5" i="10" s="1"/>
  <c r="O4" i="10" a="1"/>
  <c r="O4" i="10" s="1"/>
  <c r="N7" i="10" a="1"/>
  <c r="N7" i="10" s="1"/>
  <c r="N6" i="10" a="1"/>
  <c r="N6" i="10" s="1"/>
  <c r="N5" i="10" a="1"/>
  <c r="N5" i="10" s="1"/>
  <c r="M7" i="10" a="1"/>
  <c r="M7" i="10" s="1"/>
  <c r="M6" i="10" a="1"/>
  <c r="M6" i="10" s="1"/>
  <c r="M5" i="10" a="1"/>
  <c r="M5" i="10" s="1"/>
  <c r="L7" i="10" a="1"/>
  <c r="L7" i="10" s="1"/>
  <c r="L6" i="10" a="1"/>
  <c r="L6" i="10" s="1"/>
  <c r="L5" i="10" a="1"/>
  <c r="L5" i="10" s="1"/>
  <c r="K7" i="10" a="1"/>
  <c r="K7" i="10" s="1"/>
  <c r="K6" i="10" a="1"/>
  <c r="K6" i="10" s="1"/>
  <c r="K5" i="10" a="1"/>
  <c r="K5" i="10" s="1"/>
  <c r="N4" i="10" a="1"/>
  <c r="N4" i="10" s="1"/>
  <c r="M4" i="10" a="1"/>
  <c r="M4" i="10" s="1"/>
  <c r="L4" i="10" a="1"/>
  <c r="L4" i="10" s="1"/>
  <c r="K4" i="10" a="1"/>
  <c r="K4" i="10" s="1"/>
  <c r="O20" i="10" a="1"/>
  <c r="O20" i="10" s="1"/>
  <c r="N20" i="10" a="1"/>
  <c r="N20" i="10" s="1"/>
  <c r="M20" i="10" a="1"/>
  <c r="M20" i="10" s="1"/>
  <c r="L20" i="10" a="1"/>
  <c r="L20" i="10" s="1"/>
  <c r="K20" i="10" a="1"/>
  <c r="K20" i="10" s="1"/>
  <c r="K19" i="10" a="1"/>
  <c r="K19" i="10" s="1"/>
  <c r="L19" i="10" a="1"/>
  <c r="L19" i="10" s="1"/>
  <c r="M19" i="10" a="1"/>
  <c r="M19" i="10" s="1"/>
  <c r="N19" i="10" a="1"/>
  <c r="N19" i="10" s="1"/>
  <c r="O19" i="10" a="1"/>
  <c r="O19" i="10" s="1"/>
  <c r="N18" i="10" a="1"/>
  <c r="N18" i="10" s="1"/>
  <c r="M18" i="10" a="1"/>
  <c r="M18" i="10" s="1"/>
  <c r="L18" i="10" a="1"/>
  <c r="L18" i="10" s="1"/>
  <c r="K18" i="10" a="1"/>
  <c r="K18" i="10" s="1"/>
  <c r="O18" i="10" a="1"/>
  <c r="O18" i="10" s="1"/>
  <c r="O17" i="10" a="1"/>
  <c r="O17" i="10" s="1"/>
  <c r="N17" i="10" a="1"/>
  <c r="N17" i="10" s="1"/>
  <c r="M17" i="10" a="1"/>
  <c r="M17" i="10" s="1"/>
  <c r="L17" i="10" a="1"/>
  <c r="L17" i="10" s="1"/>
  <c r="K17" i="10" a="1"/>
  <c r="K17" i="10" s="1"/>
  <c r="F16" i="10"/>
  <c r="E16" i="10"/>
  <c r="D16" i="10"/>
  <c r="C16" i="10"/>
  <c r="F3" i="10"/>
  <c r="E3" i="10"/>
  <c r="D3" i="10"/>
  <c r="C3" i="10"/>
  <c r="S364" i="1"/>
  <c r="R364" i="1"/>
  <c r="D328" i="24"/>
  <c r="E328" i="24"/>
  <c r="F328" i="24"/>
  <c r="G328" i="24"/>
  <c r="H328" i="24"/>
  <c r="I328" i="24"/>
  <c r="G336" i="24" s="1"/>
  <c r="J328" i="24"/>
  <c r="K328" i="24"/>
  <c r="G338" i="24" s="1"/>
  <c r="L328" i="24"/>
  <c r="M328" i="24"/>
  <c r="I335" i="24" s="1"/>
  <c r="N328" i="24"/>
  <c r="I336" i="24" s="1"/>
  <c r="O328" i="24"/>
  <c r="I337" i="24" s="1"/>
  <c r="P328" i="24"/>
  <c r="I338" i="24" s="1"/>
  <c r="E334" i="24"/>
  <c r="G334" i="24"/>
  <c r="I334" i="24"/>
  <c r="E335" i="24"/>
  <c r="G335" i="24"/>
  <c r="E336" i="24"/>
  <c r="G337" i="24"/>
  <c r="D29" i="10" l="1"/>
  <c r="N8" i="10"/>
  <c r="L8" i="10"/>
  <c r="M8" i="10"/>
  <c r="K8" i="10"/>
  <c r="M61" i="22"/>
  <c r="L61" i="22"/>
  <c r="M60" i="22"/>
  <c r="L60" i="22"/>
  <c r="K60" i="22"/>
  <c r="K61" i="22" s="1"/>
  <c r="J60" i="22"/>
  <c r="J61" i="22" s="1"/>
  <c r="I60" i="22"/>
  <c r="I61" i="22" s="1"/>
  <c r="H60" i="22"/>
  <c r="H61" i="22" s="1"/>
  <c r="G60" i="22"/>
  <c r="G61" i="22" s="1"/>
  <c r="F60" i="22"/>
  <c r="F61" i="22" s="1"/>
  <c r="N61" i="22" s="1"/>
  <c r="N59" i="22"/>
  <c r="N58" i="22"/>
  <c r="N57" i="22"/>
  <c r="N56" i="22"/>
  <c r="N55" i="22"/>
  <c r="N60" i="22" s="1"/>
  <c r="M53" i="22"/>
  <c r="L53" i="22"/>
  <c r="K53" i="22"/>
  <c r="J53" i="22"/>
  <c r="I53" i="22"/>
  <c r="H53" i="22"/>
  <c r="G53" i="22"/>
  <c r="F53" i="22"/>
  <c r="N52" i="22"/>
  <c r="N51" i="22"/>
  <c r="N50" i="22"/>
  <c r="N49" i="22"/>
  <c r="N53" i="22" s="1"/>
  <c r="N47" i="22"/>
  <c r="M47" i="22"/>
  <c r="L47" i="22"/>
  <c r="K47" i="22"/>
  <c r="J47" i="22"/>
  <c r="I47" i="22"/>
  <c r="H47" i="22"/>
  <c r="G47" i="22"/>
  <c r="F47" i="22"/>
  <c r="N46" i="22"/>
  <c r="N45" i="22"/>
  <c r="N44" i="22"/>
  <c r="N43" i="22"/>
  <c r="N42" i="22"/>
  <c r="N41" i="22"/>
  <c r="N40" i="22"/>
  <c r="N39" i="22"/>
  <c r="M19" i="22"/>
  <c r="L19" i="22"/>
  <c r="K19" i="22"/>
  <c r="J19" i="22"/>
  <c r="I19" i="22"/>
  <c r="H19" i="22"/>
  <c r="G19" i="22"/>
  <c r="F19" i="22"/>
  <c r="N18" i="22"/>
  <c r="N19" i="22" s="1"/>
  <c r="N17" i="22"/>
  <c r="N16" i="22"/>
  <c r="M14" i="22"/>
  <c r="L14" i="22"/>
  <c r="K14" i="22"/>
  <c r="J14" i="22"/>
  <c r="I14" i="22"/>
  <c r="H14" i="22"/>
  <c r="G14" i="22"/>
  <c r="F14" i="22"/>
  <c r="N13" i="22"/>
  <c r="N12" i="22"/>
  <c r="N11" i="22"/>
  <c r="N10" i="22"/>
  <c r="N9" i="22"/>
  <c r="N8" i="22"/>
  <c r="N14" i="22" s="1"/>
  <c r="Z311" i="21" l="1"/>
  <c r="Z305" i="21"/>
  <c r="Y305" i="21"/>
  <c r="X305" i="21"/>
  <c r="W305" i="21"/>
  <c r="AA306" i="21"/>
  <c r="Z306" i="21"/>
  <c r="Y306" i="21"/>
  <c r="X306" i="21"/>
  <c r="W306" i="21"/>
  <c r="AA305" i="21"/>
  <c r="AA304" i="21"/>
  <c r="Z304" i="21"/>
  <c r="Y304" i="21"/>
  <c r="X304" i="21"/>
  <c r="W304" i="21"/>
  <c r="AA303" i="21"/>
  <c r="Z303" i="21"/>
  <c r="Y303" i="21"/>
  <c r="X303" i="21"/>
  <c r="W303" i="21"/>
  <c r="Z312" i="21"/>
  <c r="AA232" i="21"/>
  <c r="Z232" i="21"/>
  <c r="Y232" i="21"/>
  <c r="X232" i="21"/>
  <c r="W232" i="21"/>
  <c r="AA231" i="21"/>
  <c r="Z231" i="21"/>
  <c r="Y231" i="21"/>
  <c r="X231" i="21"/>
  <c r="W231" i="21"/>
  <c r="Z230" i="21"/>
  <c r="Y230" i="21"/>
  <c r="X230" i="21"/>
  <c r="W230" i="21"/>
  <c r="AA230" i="21"/>
  <c r="AA229" i="21"/>
  <c r="Z229" i="21"/>
  <c r="Y229" i="21"/>
  <c r="X229" i="21"/>
  <c r="W229" i="21"/>
  <c r="Z237" i="21"/>
  <c r="Z238" i="21"/>
  <c r="AA238" i="21" s="1"/>
  <c r="AA237" i="21"/>
  <c r="AA239" i="21" s="1"/>
  <c r="Z37" i="21"/>
  <c r="Z36" i="21"/>
  <c r="Z35" i="21"/>
  <c r="Z140" i="21"/>
  <c r="Y140" i="21"/>
  <c r="X140" i="21"/>
  <c r="W140" i="21"/>
  <c r="W139" i="21"/>
  <c r="X139" i="21"/>
  <c r="Y139" i="21"/>
  <c r="Z139" i="21"/>
  <c r="AA140" i="21"/>
  <c r="AA139" i="21"/>
  <c r="Z138" i="21"/>
  <c r="Y138" i="21"/>
  <c r="X138" i="21"/>
  <c r="W138" i="21"/>
  <c r="AA138" i="21"/>
  <c r="AA137" i="21"/>
  <c r="Z137" i="21"/>
  <c r="Y137" i="21"/>
  <c r="X137" i="21"/>
  <c r="W137" i="21"/>
  <c r="Z146" i="21"/>
  <c r="Z145" i="21"/>
  <c r="AA145" i="21" s="1"/>
  <c r="AA146" i="21" s="1"/>
  <c r="AA86" i="21"/>
  <c r="AA85" i="21"/>
  <c r="AA84" i="21"/>
  <c r="AA83" i="21"/>
  <c r="Z86" i="21"/>
  <c r="Z85" i="21"/>
  <c r="Z84" i="21"/>
  <c r="Y86" i="21"/>
  <c r="Y85" i="21"/>
  <c r="Y84" i="21"/>
  <c r="X86" i="21"/>
  <c r="X85" i="21"/>
  <c r="X84" i="21"/>
  <c r="W86" i="21"/>
  <c r="W85" i="21"/>
  <c r="W84" i="21"/>
  <c r="Z83" i="21"/>
  <c r="Y83" i="21"/>
  <c r="X83" i="21"/>
  <c r="W83" i="21"/>
  <c r="Z91" i="21"/>
  <c r="Z92" i="21" s="1"/>
  <c r="Z64" i="21"/>
  <c r="AA59" i="21"/>
  <c r="Z59" i="21"/>
  <c r="Y59" i="21"/>
  <c r="X59" i="21"/>
  <c r="W59" i="21"/>
  <c r="AA58" i="21"/>
  <c r="Z58" i="21"/>
  <c r="Y58" i="21"/>
  <c r="X58" i="21"/>
  <c r="W58" i="21"/>
  <c r="W57" i="21"/>
  <c r="X57" i="21"/>
  <c r="Y57" i="21"/>
  <c r="Z57" i="21"/>
  <c r="AA57" i="21"/>
  <c r="AA56" i="21"/>
  <c r="Z56" i="21"/>
  <c r="Z233" i="21" l="1"/>
  <c r="X141" i="21"/>
  <c r="AB305" i="21"/>
  <c r="AA307" i="21"/>
  <c r="Y307" i="21"/>
  <c r="X307" i="21"/>
  <c r="AB306" i="21"/>
  <c r="AB304" i="21"/>
  <c r="Z307" i="21"/>
  <c r="AB303" i="21"/>
  <c r="AA311" i="21"/>
  <c r="AA312" i="21" s="1"/>
  <c r="W307" i="21"/>
  <c r="AB232" i="21"/>
  <c r="X233" i="21"/>
  <c r="AB231" i="21"/>
  <c r="Y233" i="21"/>
  <c r="AA233" i="21"/>
  <c r="AB230" i="21"/>
  <c r="AB229" i="21"/>
  <c r="Z239" i="21"/>
  <c r="W233" i="21"/>
  <c r="Y141" i="21"/>
  <c r="AA141" i="21"/>
  <c r="AB140" i="21"/>
  <c r="AB139" i="21"/>
  <c r="Z141" i="21"/>
  <c r="AB138" i="21"/>
  <c r="AB137" i="21"/>
  <c r="W141" i="21"/>
  <c r="AA87" i="21"/>
  <c r="AB84" i="21"/>
  <c r="Z87" i="21"/>
  <c r="Y87" i="21"/>
  <c r="AB86" i="21"/>
  <c r="X87" i="21"/>
  <c r="AB85" i="21"/>
  <c r="AB83" i="21"/>
  <c r="W87" i="21"/>
  <c r="AA91" i="21"/>
  <c r="AA92" i="21" s="1"/>
  <c r="Z60" i="21"/>
  <c r="Y56" i="21"/>
  <c r="Y60" i="21" s="1"/>
  <c r="X56" i="21"/>
  <c r="W56" i="21"/>
  <c r="AB58" i="21"/>
  <c r="AB57" i="21"/>
  <c r="AA60" i="21"/>
  <c r="AA37" i="21"/>
  <c r="AA36" i="21"/>
  <c r="AA35" i="21"/>
  <c r="AA34" i="21"/>
  <c r="Z34" i="21"/>
  <c r="Z38" i="21" s="1"/>
  <c r="Y37" i="21"/>
  <c r="Y36" i="21"/>
  <c r="Y35" i="21"/>
  <c r="Y34" i="21"/>
  <c r="X37" i="21"/>
  <c r="X36" i="21"/>
  <c r="X35" i="21"/>
  <c r="X34" i="21"/>
  <c r="W37" i="21"/>
  <c r="W36" i="21"/>
  <c r="W35" i="21"/>
  <c r="W34" i="21"/>
  <c r="Z43" i="21"/>
  <c r="AA43" i="21" s="1"/>
  <c r="Z14" i="21"/>
  <c r="Y14" i="21"/>
  <c r="X14" i="21"/>
  <c r="W14" i="21"/>
  <c r="AA14" i="21"/>
  <c r="AA13" i="21"/>
  <c r="Z13" i="21"/>
  <c r="Y13" i="21"/>
  <c r="X13" i="21"/>
  <c r="W13" i="21"/>
  <c r="AA12" i="21"/>
  <c r="Z12" i="21"/>
  <c r="Y12" i="21"/>
  <c r="X12" i="21"/>
  <c r="W12" i="21"/>
  <c r="AA11" i="21"/>
  <c r="Z11" i="21"/>
  <c r="Y11" i="21"/>
  <c r="X11" i="21"/>
  <c r="W11" i="21"/>
  <c r="AA20" i="21"/>
  <c r="Z20" i="21"/>
  <c r="X38" i="21" l="1"/>
  <c r="AB141" i="21"/>
  <c r="AB307" i="21"/>
  <c r="AB233" i="21"/>
  <c r="AB87" i="21"/>
  <c r="X15" i="21"/>
  <c r="X60" i="21"/>
  <c r="AB56" i="21"/>
  <c r="AB59" i="21"/>
  <c r="W60" i="21"/>
  <c r="AA38" i="21"/>
  <c r="AB34" i="21"/>
  <c r="Y38" i="21"/>
  <c r="AB37" i="21"/>
  <c r="AB35" i="21"/>
  <c r="W38" i="21"/>
  <c r="AB36" i="21"/>
  <c r="AB13" i="21"/>
  <c r="Z15" i="21"/>
  <c r="AB14" i="21"/>
  <c r="AA15" i="21"/>
  <c r="Y15" i="21"/>
  <c r="AB12" i="21"/>
  <c r="AB11" i="21"/>
  <c r="W15" i="21"/>
  <c r="AB60" i="21" l="1"/>
  <c r="AB38" i="21"/>
  <c r="AB15" i="21"/>
  <c r="S227" i="21" l="1"/>
  <c r="S34" i="21"/>
  <c r="S32" i="21"/>
  <c r="S11" i="21"/>
  <c r="S10" i="21"/>
  <c r="S9" i="21"/>
  <c r="C10" i="21"/>
  <c r="D10" i="21"/>
  <c r="E10" i="21"/>
  <c r="F10" i="21"/>
  <c r="G10" i="21"/>
  <c r="H10" i="21"/>
  <c r="I10" i="21"/>
  <c r="K10" i="21"/>
  <c r="M10" i="21"/>
  <c r="C11" i="21"/>
  <c r="D11" i="21"/>
  <c r="E11" i="21"/>
  <c r="F11" i="21"/>
  <c r="G11" i="21"/>
  <c r="H11" i="21"/>
  <c r="I11" i="21"/>
  <c r="K11" i="21"/>
  <c r="M11" i="21"/>
  <c r="C12" i="21"/>
  <c r="D12" i="21"/>
  <c r="E12" i="21"/>
  <c r="F12" i="21"/>
  <c r="G12" i="21"/>
  <c r="H12" i="21"/>
  <c r="I12" i="21"/>
  <c r="K12" i="21"/>
  <c r="M12" i="21"/>
  <c r="C13" i="21"/>
  <c r="D13" i="21"/>
  <c r="E13" i="21"/>
  <c r="F13" i="21"/>
  <c r="G13" i="21"/>
  <c r="H13" i="21"/>
  <c r="I13" i="21"/>
  <c r="K13" i="21"/>
  <c r="M13" i="21"/>
  <c r="C14" i="21"/>
  <c r="D14" i="21"/>
  <c r="E14" i="21"/>
  <c r="F14" i="21"/>
  <c r="G14" i="21"/>
  <c r="H14" i="21"/>
  <c r="I14" i="21"/>
  <c r="K14" i="21"/>
  <c r="M14" i="21"/>
  <c r="C15" i="21"/>
  <c r="D15" i="21"/>
  <c r="E15" i="21"/>
  <c r="F15" i="21"/>
  <c r="G15" i="21"/>
  <c r="H15" i="21"/>
  <c r="I15" i="21"/>
  <c r="K15" i="21"/>
  <c r="M15" i="21"/>
  <c r="C16" i="21"/>
  <c r="D16" i="21"/>
  <c r="E16" i="21"/>
  <c r="F16" i="21"/>
  <c r="G16" i="21"/>
  <c r="H16" i="21"/>
  <c r="I16" i="21"/>
  <c r="K16" i="21"/>
  <c r="M16" i="21"/>
  <c r="C17" i="21"/>
  <c r="D17" i="21"/>
  <c r="E17" i="21"/>
  <c r="F17" i="21"/>
  <c r="G17" i="21"/>
  <c r="H17" i="21"/>
  <c r="I17" i="21"/>
  <c r="K17" i="21"/>
  <c r="M17" i="21"/>
  <c r="C18" i="21"/>
  <c r="D18" i="21"/>
  <c r="E18" i="21"/>
  <c r="F18" i="21"/>
  <c r="G18" i="21"/>
  <c r="H18" i="21"/>
  <c r="I18" i="21"/>
  <c r="K18" i="21"/>
  <c r="M18" i="21"/>
  <c r="C19" i="21"/>
  <c r="D19" i="21"/>
  <c r="E19" i="21"/>
  <c r="F19" i="21"/>
  <c r="G19" i="21"/>
  <c r="H19" i="21"/>
  <c r="I19" i="21"/>
  <c r="K19" i="21"/>
  <c r="M19" i="21"/>
  <c r="C20" i="21"/>
  <c r="D20" i="21"/>
  <c r="E20" i="21"/>
  <c r="F20" i="21"/>
  <c r="G20" i="21"/>
  <c r="H20" i="21"/>
  <c r="I20" i="21"/>
  <c r="K20" i="21"/>
  <c r="M20" i="21"/>
  <c r="C21" i="21"/>
  <c r="D21" i="21"/>
  <c r="E21" i="21"/>
  <c r="F21" i="21"/>
  <c r="G21" i="21"/>
  <c r="H21" i="21"/>
  <c r="I21" i="21"/>
  <c r="K21" i="21"/>
  <c r="M21" i="21"/>
  <c r="C22" i="21"/>
  <c r="D22" i="21"/>
  <c r="E22" i="21"/>
  <c r="F22" i="21"/>
  <c r="G22" i="21"/>
  <c r="H22" i="21"/>
  <c r="I22" i="21"/>
  <c r="K22" i="21"/>
  <c r="M22" i="21"/>
  <c r="C23" i="21"/>
  <c r="D23" i="21"/>
  <c r="E23" i="21"/>
  <c r="F23" i="21"/>
  <c r="G23" i="21"/>
  <c r="H23" i="21"/>
  <c r="I23" i="21"/>
  <c r="K23" i="21"/>
  <c r="M23" i="21"/>
  <c r="C24" i="21"/>
  <c r="D24" i="21"/>
  <c r="E24" i="21"/>
  <c r="F24" i="21"/>
  <c r="G24" i="21"/>
  <c r="H24" i="21"/>
  <c r="I24" i="21"/>
  <c r="K24" i="21"/>
  <c r="M24" i="21"/>
  <c r="C25" i="21"/>
  <c r="D25" i="21"/>
  <c r="E25" i="21"/>
  <c r="F25" i="21"/>
  <c r="G25" i="21"/>
  <c r="H25" i="21"/>
  <c r="I25" i="21"/>
  <c r="K25" i="21"/>
  <c r="M25" i="21"/>
  <c r="C26" i="21"/>
  <c r="D26" i="21"/>
  <c r="E26" i="21"/>
  <c r="F26" i="21"/>
  <c r="G26" i="21"/>
  <c r="H26" i="21"/>
  <c r="I26" i="21"/>
  <c r="K26" i="21"/>
  <c r="M26" i="21"/>
  <c r="C27" i="21"/>
  <c r="D27" i="21"/>
  <c r="E27" i="21"/>
  <c r="F27" i="21"/>
  <c r="G27" i="21"/>
  <c r="H27" i="21"/>
  <c r="I27" i="21"/>
  <c r="K27" i="21"/>
  <c r="M27" i="21"/>
  <c r="C28" i="21"/>
  <c r="D28" i="21"/>
  <c r="E28" i="21"/>
  <c r="F28" i="21"/>
  <c r="G28" i="21"/>
  <c r="H28" i="21"/>
  <c r="I28" i="21"/>
  <c r="K28" i="21"/>
  <c r="M28" i="21"/>
  <c r="C32" i="21"/>
  <c r="D32" i="21"/>
  <c r="E32" i="21"/>
  <c r="F32" i="21"/>
  <c r="G32" i="21"/>
  <c r="H32" i="21"/>
  <c r="I32" i="21"/>
  <c r="K32" i="21"/>
  <c r="M32" i="21"/>
  <c r="C33" i="21"/>
  <c r="D33" i="21"/>
  <c r="E33" i="21"/>
  <c r="F33" i="21"/>
  <c r="G33" i="21"/>
  <c r="H33" i="21"/>
  <c r="I33" i="21"/>
  <c r="K33" i="21"/>
  <c r="M33" i="21"/>
  <c r="C34" i="21"/>
  <c r="D34" i="21"/>
  <c r="E34" i="21"/>
  <c r="F34" i="21"/>
  <c r="G34" i="21"/>
  <c r="H34" i="21"/>
  <c r="I34" i="21"/>
  <c r="K34" i="21"/>
  <c r="M34" i="21"/>
  <c r="C35" i="21"/>
  <c r="D35" i="21"/>
  <c r="E35" i="21"/>
  <c r="F35" i="21"/>
  <c r="G35" i="21"/>
  <c r="H35" i="21"/>
  <c r="I35" i="21"/>
  <c r="K35" i="21"/>
  <c r="M35" i="21"/>
  <c r="C36" i="21"/>
  <c r="D36" i="21"/>
  <c r="E36" i="21"/>
  <c r="F36" i="21"/>
  <c r="G36" i="21"/>
  <c r="H36" i="21"/>
  <c r="I36" i="21"/>
  <c r="K36" i="21"/>
  <c r="M36" i="21"/>
  <c r="C37" i="21"/>
  <c r="D37" i="21"/>
  <c r="E37" i="21"/>
  <c r="F37" i="21"/>
  <c r="G37" i="21"/>
  <c r="H37" i="21"/>
  <c r="I37" i="21"/>
  <c r="K37" i="21"/>
  <c r="M37" i="21"/>
  <c r="C38" i="21"/>
  <c r="D38" i="21"/>
  <c r="E38" i="21"/>
  <c r="F38" i="21"/>
  <c r="G38" i="21"/>
  <c r="H38" i="21"/>
  <c r="I38" i="21"/>
  <c r="K38" i="21"/>
  <c r="M38" i="21"/>
  <c r="C39" i="21"/>
  <c r="D39" i="21"/>
  <c r="E39" i="21"/>
  <c r="F39" i="21"/>
  <c r="G39" i="21"/>
  <c r="H39" i="21"/>
  <c r="I39" i="21"/>
  <c r="K39" i="21"/>
  <c r="M39" i="21"/>
  <c r="C40" i="21"/>
  <c r="D40" i="21"/>
  <c r="E40" i="21"/>
  <c r="F40" i="21"/>
  <c r="G40" i="21"/>
  <c r="H40" i="21"/>
  <c r="I40" i="21"/>
  <c r="K40" i="21"/>
  <c r="M40" i="21"/>
  <c r="C41" i="21"/>
  <c r="D41" i="21"/>
  <c r="E41" i="21"/>
  <c r="F41" i="21"/>
  <c r="G41" i="21"/>
  <c r="H41" i="21"/>
  <c r="I41" i="21"/>
  <c r="K41" i="21"/>
  <c r="M41" i="21"/>
  <c r="C42" i="21"/>
  <c r="D42" i="21"/>
  <c r="E42" i="21"/>
  <c r="F42" i="21"/>
  <c r="G42" i="21"/>
  <c r="H42" i="21"/>
  <c r="I42" i="21"/>
  <c r="K42" i="21"/>
  <c r="M42" i="21"/>
  <c r="C43" i="21"/>
  <c r="D43" i="21"/>
  <c r="E43" i="21"/>
  <c r="F43" i="21"/>
  <c r="G43" i="21"/>
  <c r="H43" i="21"/>
  <c r="I43" i="21"/>
  <c r="K43" i="21"/>
  <c r="M43" i="21"/>
  <c r="C44" i="21"/>
  <c r="D44" i="21"/>
  <c r="E44" i="21"/>
  <c r="F44" i="21"/>
  <c r="G44" i="21"/>
  <c r="H44" i="21"/>
  <c r="I44" i="21"/>
  <c r="K44" i="21"/>
  <c r="M44" i="21"/>
  <c r="C45" i="21"/>
  <c r="D45" i="21"/>
  <c r="E45" i="21"/>
  <c r="F45" i="21"/>
  <c r="G45" i="21"/>
  <c r="H45" i="21"/>
  <c r="I45" i="21"/>
  <c r="K45" i="21"/>
  <c r="M45" i="21"/>
  <c r="C46" i="21"/>
  <c r="D46" i="21"/>
  <c r="E46" i="21"/>
  <c r="F46" i="21"/>
  <c r="G46" i="21"/>
  <c r="H46" i="21"/>
  <c r="I46" i="21"/>
  <c r="K46" i="21"/>
  <c r="M46" i="21"/>
  <c r="C47" i="21"/>
  <c r="D47" i="21"/>
  <c r="E47" i="21"/>
  <c r="F47" i="21"/>
  <c r="G47" i="21"/>
  <c r="H47" i="21"/>
  <c r="I47" i="21"/>
  <c r="K47" i="21"/>
  <c r="M47" i="21"/>
  <c r="C48" i="21"/>
  <c r="D48" i="21"/>
  <c r="E48" i="21"/>
  <c r="F48" i="21"/>
  <c r="G48" i="21"/>
  <c r="H48" i="21"/>
  <c r="I48" i="21"/>
  <c r="K48" i="21"/>
  <c r="M48" i="21"/>
  <c r="C49" i="21"/>
  <c r="D49" i="21"/>
  <c r="E49" i="21"/>
  <c r="F49" i="21"/>
  <c r="G49" i="21"/>
  <c r="H49" i="21"/>
  <c r="I49" i="21"/>
  <c r="K49" i="21"/>
  <c r="M49" i="21"/>
  <c r="C50" i="21"/>
  <c r="D50" i="21"/>
  <c r="E50" i="21"/>
  <c r="F50" i="21"/>
  <c r="G50" i="21"/>
  <c r="H50" i="21"/>
  <c r="I50" i="21"/>
  <c r="K50" i="21"/>
  <c r="M50" i="21"/>
  <c r="C51" i="21"/>
  <c r="D51" i="21"/>
  <c r="E51" i="21"/>
  <c r="F51" i="21"/>
  <c r="G51" i="21"/>
  <c r="H51" i="21"/>
  <c r="I51" i="21"/>
  <c r="K51" i="21"/>
  <c r="M51" i="21"/>
  <c r="C52" i="21"/>
  <c r="D52" i="21"/>
  <c r="E52" i="21"/>
  <c r="F52" i="21"/>
  <c r="G52" i="21"/>
  <c r="H52" i="21"/>
  <c r="I52" i="21"/>
  <c r="K52" i="21"/>
  <c r="M52" i="21"/>
  <c r="C53" i="21"/>
  <c r="D53" i="21"/>
  <c r="E53" i="21"/>
  <c r="F53" i="21"/>
  <c r="G53" i="21"/>
  <c r="H53" i="21"/>
  <c r="I53" i="21"/>
  <c r="K53" i="21"/>
  <c r="M53" i="21"/>
  <c r="C81" i="21"/>
  <c r="D81" i="21"/>
  <c r="E81" i="21"/>
  <c r="F81" i="21"/>
  <c r="G81" i="21"/>
  <c r="H81" i="21"/>
  <c r="I81" i="21"/>
  <c r="K81" i="21"/>
  <c r="M81" i="21"/>
  <c r="C82" i="21"/>
  <c r="D82" i="21"/>
  <c r="E82" i="21"/>
  <c r="F82" i="21"/>
  <c r="G82" i="21"/>
  <c r="H82" i="21"/>
  <c r="I82" i="21"/>
  <c r="K82" i="21"/>
  <c r="M82" i="21"/>
  <c r="C83" i="21"/>
  <c r="D83" i="21"/>
  <c r="E83" i="21"/>
  <c r="F83" i="21"/>
  <c r="G83" i="21"/>
  <c r="H83" i="21"/>
  <c r="I83" i="21"/>
  <c r="K83" i="21"/>
  <c r="M83" i="21"/>
  <c r="C84" i="21"/>
  <c r="D84" i="21"/>
  <c r="E84" i="21"/>
  <c r="F84" i="21"/>
  <c r="G84" i="21"/>
  <c r="H84" i="21"/>
  <c r="I84" i="21"/>
  <c r="K84" i="21"/>
  <c r="M84" i="21"/>
  <c r="C85" i="21"/>
  <c r="D85" i="21"/>
  <c r="E85" i="21"/>
  <c r="F85" i="21"/>
  <c r="G85" i="21"/>
  <c r="H85" i="21"/>
  <c r="I85" i="21"/>
  <c r="K85" i="21"/>
  <c r="M85" i="21"/>
  <c r="C86" i="21"/>
  <c r="D86" i="21"/>
  <c r="E86" i="21"/>
  <c r="F86" i="21"/>
  <c r="G86" i="21"/>
  <c r="H86" i="21"/>
  <c r="I86" i="21"/>
  <c r="K86" i="21"/>
  <c r="M86" i="21"/>
  <c r="C87" i="21"/>
  <c r="D87" i="21"/>
  <c r="E87" i="21"/>
  <c r="F87" i="21"/>
  <c r="G87" i="21"/>
  <c r="H87" i="21"/>
  <c r="I87" i="21"/>
  <c r="K87" i="21"/>
  <c r="M87" i="21"/>
  <c r="C88" i="21"/>
  <c r="D88" i="21"/>
  <c r="E88" i="21"/>
  <c r="F88" i="21"/>
  <c r="G88" i="21"/>
  <c r="H88" i="21"/>
  <c r="I88" i="21"/>
  <c r="K88" i="21"/>
  <c r="M88" i="21"/>
  <c r="C89" i="21"/>
  <c r="D89" i="21"/>
  <c r="E89" i="21"/>
  <c r="F89" i="21"/>
  <c r="G89" i="21"/>
  <c r="H89" i="21"/>
  <c r="I89" i="21"/>
  <c r="K89" i="21"/>
  <c r="M89" i="21"/>
  <c r="C90" i="21"/>
  <c r="D90" i="21"/>
  <c r="E90" i="21"/>
  <c r="F90" i="21"/>
  <c r="G90" i="21"/>
  <c r="H90" i="21"/>
  <c r="I90" i="21"/>
  <c r="K90" i="21"/>
  <c r="M90" i="21"/>
  <c r="C91" i="21"/>
  <c r="D91" i="21"/>
  <c r="E91" i="21"/>
  <c r="F91" i="21"/>
  <c r="G91" i="21"/>
  <c r="H91" i="21"/>
  <c r="I91" i="21"/>
  <c r="K91" i="21"/>
  <c r="M91" i="21"/>
  <c r="C92" i="21"/>
  <c r="D92" i="21"/>
  <c r="E92" i="21"/>
  <c r="F92" i="21"/>
  <c r="G92" i="21"/>
  <c r="H92" i="21"/>
  <c r="I92" i="21"/>
  <c r="K92" i="21"/>
  <c r="M92" i="21"/>
  <c r="C93" i="21"/>
  <c r="D93" i="21"/>
  <c r="E93" i="21"/>
  <c r="F93" i="21"/>
  <c r="G93" i="21"/>
  <c r="H93" i="21"/>
  <c r="I93" i="21"/>
  <c r="K93" i="21"/>
  <c r="M93" i="21"/>
  <c r="C94" i="21"/>
  <c r="D94" i="21"/>
  <c r="E94" i="21"/>
  <c r="F94" i="21"/>
  <c r="G94" i="21"/>
  <c r="H94" i="21"/>
  <c r="I94" i="21"/>
  <c r="K94" i="21"/>
  <c r="M94" i="21"/>
  <c r="C95" i="21"/>
  <c r="D95" i="21"/>
  <c r="E95" i="21"/>
  <c r="F95" i="21"/>
  <c r="G95" i="21"/>
  <c r="H95" i="21"/>
  <c r="I95" i="21"/>
  <c r="K95" i="21"/>
  <c r="M95" i="21"/>
  <c r="C96" i="21"/>
  <c r="D96" i="21"/>
  <c r="E96" i="21"/>
  <c r="F96" i="21"/>
  <c r="G96" i="21"/>
  <c r="H96" i="21"/>
  <c r="I96" i="21"/>
  <c r="K96" i="21"/>
  <c r="M96" i="21"/>
  <c r="C97" i="21"/>
  <c r="D97" i="21"/>
  <c r="E97" i="21"/>
  <c r="F97" i="21"/>
  <c r="G97" i="21"/>
  <c r="H97" i="21"/>
  <c r="I97" i="21"/>
  <c r="K97" i="21"/>
  <c r="M97" i="21"/>
  <c r="C98" i="21"/>
  <c r="D98" i="21"/>
  <c r="E98" i="21"/>
  <c r="F98" i="21"/>
  <c r="G98" i="21"/>
  <c r="H98" i="21"/>
  <c r="I98" i="21"/>
  <c r="K98" i="21"/>
  <c r="M98" i="21"/>
  <c r="C99" i="21"/>
  <c r="D99" i="21"/>
  <c r="E99" i="21"/>
  <c r="F99" i="21"/>
  <c r="G99" i="21"/>
  <c r="H99" i="21"/>
  <c r="I99" i="21"/>
  <c r="K99" i="21"/>
  <c r="M99" i="21"/>
  <c r="C100" i="21"/>
  <c r="D100" i="21"/>
  <c r="E100" i="21"/>
  <c r="F100" i="21"/>
  <c r="G100" i="21"/>
  <c r="H100" i="21"/>
  <c r="I100" i="21"/>
  <c r="K100" i="21"/>
  <c r="M100" i="21"/>
  <c r="C101" i="21"/>
  <c r="D101" i="21"/>
  <c r="E101" i="21"/>
  <c r="F101" i="21"/>
  <c r="G101" i="21"/>
  <c r="H101" i="21"/>
  <c r="I101" i="21"/>
  <c r="K101" i="21"/>
  <c r="M101" i="21"/>
  <c r="C102" i="21"/>
  <c r="D102" i="21"/>
  <c r="E102" i="21"/>
  <c r="F102" i="21"/>
  <c r="G102" i="21"/>
  <c r="H102" i="21"/>
  <c r="I102" i="21"/>
  <c r="K102" i="21"/>
  <c r="M102" i="21"/>
  <c r="C103" i="21"/>
  <c r="D103" i="21"/>
  <c r="E103" i="21"/>
  <c r="F103" i="21"/>
  <c r="G103" i="21"/>
  <c r="H103" i="21"/>
  <c r="I103" i="21"/>
  <c r="K103" i="21"/>
  <c r="M103" i="21"/>
  <c r="C104" i="21"/>
  <c r="D104" i="21"/>
  <c r="E104" i="21"/>
  <c r="F104" i="21"/>
  <c r="G104" i="21"/>
  <c r="H104" i="21"/>
  <c r="I104" i="21"/>
  <c r="K104" i="21"/>
  <c r="M104" i="21"/>
  <c r="C105" i="21"/>
  <c r="D105" i="21"/>
  <c r="E105" i="21"/>
  <c r="F105" i="21"/>
  <c r="G105" i="21"/>
  <c r="H105" i="21"/>
  <c r="I105" i="21"/>
  <c r="K105" i="21"/>
  <c r="M105" i="21"/>
  <c r="C106" i="21"/>
  <c r="D106" i="21"/>
  <c r="E106" i="21"/>
  <c r="F106" i="21"/>
  <c r="G106" i="21"/>
  <c r="H106" i="21"/>
  <c r="I106" i="21"/>
  <c r="K106" i="21"/>
  <c r="M106" i="21"/>
  <c r="C107" i="21"/>
  <c r="D107" i="21"/>
  <c r="E107" i="21"/>
  <c r="F107" i="21"/>
  <c r="G107" i="21"/>
  <c r="H107" i="21"/>
  <c r="I107" i="21"/>
  <c r="K107" i="21"/>
  <c r="M107" i="21"/>
  <c r="C108" i="21"/>
  <c r="D108" i="21"/>
  <c r="E108" i="21"/>
  <c r="F108" i="21"/>
  <c r="G108" i="21"/>
  <c r="H108" i="21"/>
  <c r="I108" i="21"/>
  <c r="K108" i="21"/>
  <c r="M108" i="21"/>
  <c r="C109" i="21"/>
  <c r="D109" i="21"/>
  <c r="E109" i="21"/>
  <c r="F109" i="21"/>
  <c r="G109" i="21"/>
  <c r="H109" i="21"/>
  <c r="I109" i="21"/>
  <c r="K109" i="21"/>
  <c r="M109" i="21"/>
  <c r="C110" i="21"/>
  <c r="D110" i="21"/>
  <c r="E110" i="21"/>
  <c r="F110" i="21"/>
  <c r="G110" i="21"/>
  <c r="H110" i="21"/>
  <c r="I110" i="21"/>
  <c r="K110" i="21"/>
  <c r="M110" i="21"/>
  <c r="C111" i="21"/>
  <c r="D111" i="21"/>
  <c r="E111" i="21"/>
  <c r="F111" i="21"/>
  <c r="G111" i="21"/>
  <c r="H111" i="21"/>
  <c r="I111" i="21"/>
  <c r="K111" i="21"/>
  <c r="M111" i="21"/>
  <c r="C112" i="21"/>
  <c r="D112" i="21"/>
  <c r="E112" i="21"/>
  <c r="F112" i="21"/>
  <c r="G112" i="21"/>
  <c r="H112" i="21"/>
  <c r="I112" i="21"/>
  <c r="K112" i="21"/>
  <c r="M112" i="21"/>
  <c r="C113" i="21"/>
  <c r="D113" i="21"/>
  <c r="E113" i="21"/>
  <c r="F113" i="21"/>
  <c r="G113" i="21"/>
  <c r="H113" i="21"/>
  <c r="I113" i="21"/>
  <c r="K113" i="21"/>
  <c r="M113" i="21"/>
  <c r="C114" i="21"/>
  <c r="D114" i="21"/>
  <c r="E114" i="21"/>
  <c r="F114" i="21"/>
  <c r="G114" i="21"/>
  <c r="H114" i="21"/>
  <c r="I114" i="21"/>
  <c r="K114" i="21"/>
  <c r="M114" i="21"/>
  <c r="C115" i="21"/>
  <c r="D115" i="21"/>
  <c r="E115" i="21"/>
  <c r="F115" i="21"/>
  <c r="G115" i="21"/>
  <c r="H115" i="21"/>
  <c r="I115" i="21"/>
  <c r="K115" i="21"/>
  <c r="M115" i="21"/>
  <c r="C116" i="21"/>
  <c r="D116" i="21"/>
  <c r="E116" i="21"/>
  <c r="F116" i="21"/>
  <c r="G116" i="21"/>
  <c r="H116" i="21"/>
  <c r="I116" i="21"/>
  <c r="K116" i="21"/>
  <c r="M116" i="21"/>
  <c r="C117" i="21"/>
  <c r="D117" i="21"/>
  <c r="E117" i="21"/>
  <c r="F117" i="21"/>
  <c r="G117" i="21"/>
  <c r="H117" i="21"/>
  <c r="I117" i="21"/>
  <c r="K117" i="21"/>
  <c r="M117" i="21"/>
  <c r="C118" i="21"/>
  <c r="D118" i="21"/>
  <c r="E118" i="21"/>
  <c r="F118" i="21"/>
  <c r="G118" i="21"/>
  <c r="H118" i="21"/>
  <c r="I118" i="21"/>
  <c r="K118" i="21"/>
  <c r="M118" i="21"/>
  <c r="C119" i="21"/>
  <c r="D119" i="21"/>
  <c r="E119" i="21"/>
  <c r="F119" i="21"/>
  <c r="G119" i="21"/>
  <c r="H119" i="21"/>
  <c r="I119" i="21"/>
  <c r="K119" i="21"/>
  <c r="M119" i="21"/>
  <c r="C120" i="21"/>
  <c r="D120" i="21"/>
  <c r="E120" i="21"/>
  <c r="F120" i="21"/>
  <c r="G120" i="21"/>
  <c r="H120" i="21"/>
  <c r="I120" i="21"/>
  <c r="K120" i="21"/>
  <c r="M120" i="21"/>
  <c r="C121" i="21"/>
  <c r="D121" i="21"/>
  <c r="E121" i="21"/>
  <c r="F121" i="21"/>
  <c r="G121" i="21"/>
  <c r="H121" i="21"/>
  <c r="I121" i="21"/>
  <c r="K121" i="21"/>
  <c r="M121" i="21"/>
  <c r="C122" i="21"/>
  <c r="D122" i="21"/>
  <c r="E122" i="21"/>
  <c r="F122" i="21"/>
  <c r="G122" i="21"/>
  <c r="H122" i="21"/>
  <c r="I122" i="21"/>
  <c r="K122" i="21"/>
  <c r="M122" i="21"/>
  <c r="C123" i="21"/>
  <c r="D123" i="21"/>
  <c r="E123" i="21"/>
  <c r="F123" i="21"/>
  <c r="G123" i="21"/>
  <c r="H123" i="21"/>
  <c r="I123" i="21"/>
  <c r="K123" i="21"/>
  <c r="M123" i="21"/>
  <c r="C124" i="21"/>
  <c r="D124" i="21"/>
  <c r="E124" i="21"/>
  <c r="F124" i="21"/>
  <c r="G124" i="21"/>
  <c r="H124" i="21"/>
  <c r="I124" i="21"/>
  <c r="K124" i="21"/>
  <c r="M124" i="21"/>
  <c r="C125" i="21"/>
  <c r="D125" i="21"/>
  <c r="E125" i="21"/>
  <c r="F125" i="21"/>
  <c r="G125" i="21"/>
  <c r="H125" i="21"/>
  <c r="I125" i="21"/>
  <c r="K125" i="21"/>
  <c r="M125" i="21"/>
  <c r="C301" i="21"/>
  <c r="D301" i="21"/>
  <c r="E301" i="21"/>
  <c r="F301" i="21"/>
  <c r="G301" i="21"/>
  <c r="H301" i="21"/>
  <c r="I301" i="21"/>
  <c r="K301" i="21"/>
  <c r="M301" i="21"/>
  <c r="C302" i="21"/>
  <c r="D302" i="21"/>
  <c r="E302" i="21"/>
  <c r="F302" i="21"/>
  <c r="G302" i="21"/>
  <c r="H302" i="21"/>
  <c r="I302" i="21"/>
  <c r="K302" i="21"/>
  <c r="M302" i="21"/>
  <c r="C303" i="21"/>
  <c r="D303" i="21"/>
  <c r="E303" i="21"/>
  <c r="F303" i="21"/>
  <c r="G303" i="21"/>
  <c r="H303" i="21"/>
  <c r="I303" i="21"/>
  <c r="K303" i="21"/>
  <c r="M303" i="21"/>
  <c r="C304" i="21"/>
  <c r="D304" i="21"/>
  <c r="E304" i="21"/>
  <c r="F304" i="21"/>
  <c r="G304" i="21"/>
  <c r="H304" i="21"/>
  <c r="I304" i="21"/>
  <c r="K304" i="21"/>
  <c r="M304" i="21"/>
  <c r="C305" i="21"/>
  <c r="D305" i="21"/>
  <c r="E305" i="21"/>
  <c r="F305" i="21"/>
  <c r="G305" i="21"/>
  <c r="H305" i="21"/>
  <c r="I305" i="21"/>
  <c r="K305" i="21"/>
  <c r="M305" i="21"/>
  <c r="C306" i="21"/>
  <c r="D306" i="21"/>
  <c r="E306" i="21"/>
  <c r="F306" i="21"/>
  <c r="G306" i="21"/>
  <c r="H306" i="21"/>
  <c r="I306" i="21"/>
  <c r="K306" i="21"/>
  <c r="M306" i="21"/>
  <c r="C307" i="21"/>
  <c r="D307" i="21"/>
  <c r="E307" i="21"/>
  <c r="F307" i="21"/>
  <c r="G307" i="21"/>
  <c r="H307" i="21"/>
  <c r="I307" i="21"/>
  <c r="K307" i="21"/>
  <c r="M307" i="21"/>
  <c r="C308" i="21"/>
  <c r="D308" i="21"/>
  <c r="E308" i="21"/>
  <c r="F308" i="21"/>
  <c r="G308" i="21"/>
  <c r="H308" i="21"/>
  <c r="I308" i="21"/>
  <c r="K308" i="21"/>
  <c r="M308" i="21"/>
  <c r="C309" i="21"/>
  <c r="D309" i="21"/>
  <c r="E309" i="21"/>
  <c r="F309" i="21"/>
  <c r="G309" i="21"/>
  <c r="H309" i="21"/>
  <c r="I309" i="21"/>
  <c r="K309" i="21"/>
  <c r="M309" i="21"/>
  <c r="C310" i="21"/>
  <c r="D310" i="21"/>
  <c r="E310" i="21"/>
  <c r="F310" i="21"/>
  <c r="G310" i="21"/>
  <c r="H310" i="21"/>
  <c r="I310" i="21"/>
  <c r="K310" i="21"/>
  <c r="M310" i="21"/>
  <c r="C311" i="21"/>
  <c r="D311" i="21"/>
  <c r="E311" i="21"/>
  <c r="F311" i="21"/>
  <c r="G311" i="21"/>
  <c r="H311" i="21"/>
  <c r="I311" i="21"/>
  <c r="K311" i="21"/>
  <c r="M311" i="21"/>
  <c r="C312" i="21"/>
  <c r="D312" i="21"/>
  <c r="E312" i="21"/>
  <c r="F312" i="21"/>
  <c r="G312" i="21"/>
  <c r="H312" i="21"/>
  <c r="I312" i="21"/>
  <c r="K312" i="21"/>
  <c r="M312" i="21"/>
  <c r="C313" i="21"/>
  <c r="D313" i="21"/>
  <c r="E313" i="21"/>
  <c r="F313" i="21"/>
  <c r="G313" i="21"/>
  <c r="H313" i="21"/>
  <c r="I313" i="21"/>
  <c r="K313" i="21"/>
  <c r="M313" i="21"/>
  <c r="C314" i="21"/>
  <c r="D314" i="21"/>
  <c r="E314" i="21"/>
  <c r="F314" i="21"/>
  <c r="G314" i="21"/>
  <c r="H314" i="21"/>
  <c r="I314" i="21"/>
  <c r="K314" i="21"/>
  <c r="M314" i="21"/>
  <c r="C315" i="21"/>
  <c r="D315" i="21"/>
  <c r="E315" i="21"/>
  <c r="F315" i="21"/>
  <c r="G315" i="21"/>
  <c r="H315" i="21"/>
  <c r="I315" i="21"/>
  <c r="K315" i="21"/>
  <c r="M315" i="21"/>
  <c r="C316" i="21"/>
  <c r="D316" i="21"/>
  <c r="E316" i="21"/>
  <c r="F316" i="21"/>
  <c r="G316" i="21"/>
  <c r="H316" i="21"/>
  <c r="I316" i="21"/>
  <c r="K316" i="21"/>
  <c r="M316" i="21"/>
  <c r="C317" i="21"/>
  <c r="D317" i="21"/>
  <c r="E317" i="21"/>
  <c r="F317" i="21"/>
  <c r="G317" i="21"/>
  <c r="H317" i="21"/>
  <c r="I317" i="21"/>
  <c r="K317" i="21"/>
  <c r="M317" i="21"/>
  <c r="C318" i="21"/>
  <c r="D318" i="21"/>
  <c r="E318" i="21"/>
  <c r="F318" i="21"/>
  <c r="G318" i="21"/>
  <c r="H318" i="21"/>
  <c r="I318" i="21"/>
  <c r="K318" i="21"/>
  <c r="M318" i="21"/>
  <c r="C319" i="21"/>
  <c r="D319" i="21"/>
  <c r="E319" i="21"/>
  <c r="F319" i="21"/>
  <c r="G319" i="21"/>
  <c r="H319" i="21"/>
  <c r="I319" i="21"/>
  <c r="K319" i="21"/>
  <c r="M319" i="21"/>
  <c r="C320" i="21"/>
  <c r="D320" i="21"/>
  <c r="E320" i="21"/>
  <c r="F320" i="21"/>
  <c r="G320" i="21"/>
  <c r="H320" i="21"/>
  <c r="I320" i="21"/>
  <c r="K320" i="21"/>
  <c r="M320" i="21"/>
  <c r="C321" i="21"/>
  <c r="D321" i="21"/>
  <c r="E321" i="21"/>
  <c r="F321" i="21"/>
  <c r="G321" i="21"/>
  <c r="H321" i="21"/>
  <c r="I321" i="21"/>
  <c r="K321" i="21"/>
  <c r="M321" i="21"/>
  <c r="C322" i="21"/>
  <c r="D322" i="21"/>
  <c r="E322" i="21"/>
  <c r="F322" i="21"/>
  <c r="G322" i="21"/>
  <c r="H322" i="21"/>
  <c r="I322" i="21"/>
  <c r="K322" i="21"/>
  <c r="M322" i="21"/>
  <c r="C323" i="21"/>
  <c r="D323" i="21"/>
  <c r="E323" i="21"/>
  <c r="F323" i="21"/>
  <c r="G323" i="21"/>
  <c r="H323" i="21"/>
  <c r="I323" i="21"/>
  <c r="K323" i="21"/>
  <c r="M323" i="21"/>
  <c r="C324" i="21"/>
  <c r="D324" i="21"/>
  <c r="E324" i="21"/>
  <c r="F324" i="21"/>
  <c r="G324" i="21"/>
  <c r="H324" i="21"/>
  <c r="I324" i="21"/>
  <c r="K324" i="21"/>
  <c r="M324" i="21"/>
  <c r="C325" i="21"/>
  <c r="D325" i="21"/>
  <c r="E325" i="21"/>
  <c r="F325" i="21"/>
  <c r="G325" i="21"/>
  <c r="H325" i="21"/>
  <c r="I325" i="21"/>
  <c r="K325" i="21"/>
  <c r="M325" i="21"/>
  <c r="C326" i="21"/>
  <c r="D326" i="21"/>
  <c r="E326" i="21"/>
  <c r="F326" i="21"/>
  <c r="G326" i="21"/>
  <c r="H326" i="21"/>
  <c r="I326" i="21"/>
  <c r="K326" i="21"/>
  <c r="M326" i="21"/>
  <c r="C327" i="21"/>
  <c r="D327" i="21"/>
  <c r="E327" i="21"/>
  <c r="F327" i="21"/>
  <c r="G327" i="21"/>
  <c r="H327" i="21"/>
  <c r="I327" i="21"/>
  <c r="K327" i="21"/>
  <c r="M327" i="21"/>
  <c r="C328" i="21"/>
  <c r="D328" i="21"/>
  <c r="E328" i="21"/>
  <c r="F328" i="21"/>
  <c r="G328" i="21"/>
  <c r="H328" i="21"/>
  <c r="I328" i="21"/>
  <c r="K328" i="21"/>
  <c r="M328" i="21"/>
  <c r="C54" i="21"/>
  <c r="D54" i="21"/>
  <c r="E54" i="21"/>
  <c r="F54" i="21"/>
  <c r="G54" i="21"/>
  <c r="H54" i="21"/>
  <c r="I54" i="21"/>
  <c r="K54" i="21"/>
  <c r="M54" i="21"/>
  <c r="C55" i="21"/>
  <c r="D55" i="21"/>
  <c r="E55" i="21"/>
  <c r="F55" i="21"/>
  <c r="G55" i="21"/>
  <c r="H55" i="21"/>
  <c r="I55" i="21"/>
  <c r="K55" i="21"/>
  <c r="M55" i="21"/>
  <c r="C56" i="21"/>
  <c r="D56" i="21"/>
  <c r="E56" i="21"/>
  <c r="F56" i="21"/>
  <c r="G56" i="21"/>
  <c r="H56" i="21"/>
  <c r="I56" i="21"/>
  <c r="K56" i="21"/>
  <c r="M56" i="21"/>
  <c r="C57" i="21"/>
  <c r="D57" i="21"/>
  <c r="E57" i="21"/>
  <c r="F57" i="21"/>
  <c r="G57" i="21"/>
  <c r="H57" i="21"/>
  <c r="I57" i="21"/>
  <c r="K57" i="21"/>
  <c r="M57" i="21"/>
  <c r="C58" i="21"/>
  <c r="D58" i="21"/>
  <c r="E58" i="21"/>
  <c r="F58" i="21"/>
  <c r="G58" i="21"/>
  <c r="H58" i="21"/>
  <c r="I58" i="21"/>
  <c r="K58" i="21"/>
  <c r="M58" i="21"/>
  <c r="C59" i="21"/>
  <c r="D59" i="21"/>
  <c r="E59" i="21"/>
  <c r="F59" i="21"/>
  <c r="G59" i="21"/>
  <c r="H59" i="21"/>
  <c r="I59" i="21"/>
  <c r="K59" i="21"/>
  <c r="M59" i="21"/>
  <c r="C60" i="21"/>
  <c r="D60" i="21"/>
  <c r="E60" i="21"/>
  <c r="F60" i="21"/>
  <c r="G60" i="21"/>
  <c r="H60" i="21"/>
  <c r="I60" i="21"/>
  <c r="K60" i="21"/>
  <c r="M60" i="21"/>
  <c r="C61" i="21"/>
  <c r="D61" i="21"/>
  <c r="E61" i="21"/>
  <c r="F61" i="21"/>
  <c r="G61" i="21"/>
  <c r="H61" i="21"/>
  <c r="I61" i="21"/>
  <c r="K61" i="21"/>
  <c r="M61" i="21"/>
  <c r="C62" i="21"/>
  <c r="D62" i="21"/>
  <c r="E62" i="21"/>
  <c r="F62" i="21"/>
  <c r="G62" i="21"/>
  <c r="H62" i="21"/>
  <c r="I62" i="21"/>
  <c r="K62" i="21"/>
  <c r="M62" i="21"/>
  <c r="C63" i="21"/>
  <c r="D63" i="21"/>
  <c r="E63" i="21"/>
  <c r="F63" i="21"/>
  <c r="G63" i="21"/>
  <c r="H63" i="21"/>
  <c r="I63" i="21"/>
  <c r="K63" i="21"/>
  <c r="M63" i="21"/>
  <c r="C64" i="21"/>
  <c r="D64" i="21"/>
  <c r="E64" i="21"/>
  <c r="F64" i="21"/>
  <c r="G64" i="21"/>
  <c r="H64" i="21"/>
  <c r="I64" i="21"/>
  <c r="K64" i="21"/>
  <c r="M64" i="21"/>
  <c r="C65" i="21"/>
  <c r="D65" i="21"/>
  <c r="E65" i="21"/>
  <c r="F65" i="21"/>
  <c r="G65" i="21"/>
  <c r="H65" i="21"/>
  <c r="I65" i="21"/>
  <c r="K65" i="21"/>
  <c r="M65" i="21"/>
  <c r="C66" i="21"/>
  <c r="D66" i="21"/>
  <c r="E66" i="21"/>
  <c r="F66" i="21"/>
  <c r="G66" i="21"/>
  <c r="H66" i="21"/>
  <c r="I66" i="21"/>
  <c r="K66" i="21"/>
  <c r="M66" i="21"/>
  <c r="C67" i="21"/>
  <c r="D67" i="21"/>
  <c r="E67" i="21"/>
  <c r="F67" i="21"/>
  <c r="G67" i="21"/>
  <c r="H67" i="21"/>
  <c r="I67" i="21"/>
  <c r="K67" i="21"/>
  <c r="M67" i="21"/>
  <c r="C68" i="21"/>
  <c r="D68" i="21"/>
  <c r="E68" i="21"/>
  <c r="F68" i="21"/>
  <c r="G68" i="21"/>
  <c r="H68" i="21"/>
  <c r="I68" i="21"/>
  <c r="K68" i="21"/>
  <c r="M68" i="21"/>
  <c r="C69" i="21"/>
  <c r="D69" i="21"/>
  <c r="E69" i="21"/>
  <c r="F69" i="21"/>
  <c r="G69" i="21"/>
  <c r="H69" i="21"/>
  <c r="I69" i="21"/>
  <c r="K69" i="21"/>
  <c r="M69" i="21"/>
  <c r="C70" i="21"/>
  <c r="D70" i="21"/>
  <c r="E70" i="21"/>
  <c r="F70" i="21"/>
  <c r="G70" i="21"/>
  <c r="H70" i="21"/>
  <c r="I70" i="21"/>
  <c r="K70" i="21"/>
  <c r="M70" i="21"/>
  <c r="C71" i="21"/>
  <c r="D71" i="21"/>
  <c r="E71" i="21"/>
  <c r="F71" i="21"/>
  <c r="G71" i="21"/>
  <c r="H71" i="21"/>
  <c r="I71" i="21"/>
  <c r="K71" i="21"/>
  <c r="M71" i="21"/>
  <c r="C72" i="21"/>
  <c r="D72" i="21"/>
  <c r="E72" i="21"/>
  <c r="F72" i="21"/>
  <c r="G72" i="21"/>
  <c r="H72" i="21"/>
  <c r="I72" i="21"/>
  <c r="K72" i="21"/>
  <c r="M72" i="21"/>
  <c r="C73" i="21"/>
  <c r="D73" i="21"/>
  <c r="E73" i="21"/>
  <c r="F73" i="21"/>
  <c r="G73" i="21"/>
  <c r="H73" i="21"/>
  <c r="I73" i="21"/>
  <c r="K73" i="21"/>
  <c r="M73" i="21"/>
  <c r="C74" i="21"/>
  <c r="D74" i="21"/>
  <c r="E74" i="21"/>
  <c r="F74" i="21"/>
  <c r="G74" i="21"/>
  <c r="H74" i="21"/>
  <c r="I74" i="21"/>
  <c r="K74" i="21"/>
  <c r="M74" i="21"/>
  <c r="C75" i="21"/>
  <c r="D75" i="21"/>
  <c r="E75" i="21"/>
  <c r="F75" i="21"/>
  <c r="G75" i="21"/>
  <c r="H75" i="21"/>
  <c r="I75" i="21"/>
  <c r="K75" i="21"/>
  <c r="M75" i="21"/>
  <c r="C76" i="21"/>
  <c r="D76" i="21"/>
  <c r="E76" i="21"/>
  <c r="F76" i="21"/>
  <c r="G76" i="21"/>
  <c r="H76" i="21"/>
  <c r="I76" i="21"/>
  <c r="K76" i="21"/>
  <c r="M76" i="21"/>
  <c r="C77" i="21"/>
  <c r="D77" i="21"/>
  <c r="E77" i="21"/>
  <c r="F77" i="21"/>
  <c r="G77" i="21"/>
  <c r="H77" i="21"/>
  <c r="I77" i="21"/>
  <c r="K77" i="21"/>
  <c r="M77" i="21"/>
  <c r="C78" i="21"/>
  <c r="D78" i="21"/>
  <c r="E78" i="21"/>
  <c r="F78" i="21"/>
  <c r="G78" i="21"/>
  <c r="H78" i="21"/>
  <c r="I78" i="21"/>
  <c r="K78" i="21"/>
  <c r="M78" i="21"/>
  <c r="C79" i="21"/>
  <c r="D79" i="21"/>
  <c r="E79" i="21"/>
  <c r="F79" i="21"/>
  <c r="G79" i="21"/>
  <c r="H79" i="21"/>
  <c r="I79" i="21"/>
  <c r="K79" i="21"/>
  <c r="M79" i="21"/>
  <c r="C80" i="21"/>
  <c r="D80" i="21"/>
  <c r="E80" i="21"/>
  <c r="F80" i="21"/>
  <c r="G80" i="21"/>
  <c r="H80" i="21"/>
  <c r="I80" i="21"/>
  <c r="K80" i="21"/>
  <c r="M80" i="21"/>
  <c r="C227" i="21"/>
  <c r="D227" i="21"/>
  <c r="E227" i="21"/>
  <c r="F227" i="21"/>
  <c r="G227" i="21"/>
  <c r="H227" i="21"/>
  <c r="I227" i="21"/>
  <c r="K227" i="21"/>
  <c r="M227" i="21"/>
  <c r="C228" i="21"/>
  <c r="D228" i="21"/>
  <c r="E228" i="21"/>
  <c r="F228" i="21"/>
  <c r="G228" i="21"/>
  <c r="H228" i="21"/>
  <c r="I228" i="21"/>
  <c r="K228" i="21"/>
  <c r="M228" i="21"/>
  <c r="C229" i="21"/>
  <c r="D229" i="21"/>
  <c r="E229" i="21"/>
  <c r="F229" i="21"/>
  <c r="G229" i="21"/>
  <c r="H229" i="21"/>
  <c r="I229" i="21"/>
  <c r="K229" i="21"/>
  <c r="M229" i="21"/>
  <c r="C230" i="21"/>
  <c r="D230" i="21"/>
  <c r="E230" i="21"/>
  <c r="F230" i="21"/>
  <c r="G230" i="21"/>
  <c r="H230" i="21"/>
  <c r="I230" i="21"/>
  <c r="K230" i="21"/>
  <c r="M230" i="21"/>
  <c r="C231" i="21"/>
  <c r="D231" i="21"/>
  <c r="E231" i="21"/>
  <c r="F231" i="21"/>
  <c r="G231" i="21"/>
  <c r="H231" i="21"/>
  <c r="I231" i="21"/>
  <c r="K231" i="21"/>
  <c r="M231" i="21"/>
  <c r="C232" i="21"/>
  <c r="D232" i="21"/>
  <c r="E232" i="21"/>
  <c r="F232" i="21"/>
  <c r="G232" i="21"/>
  <c r="H232" i="21"/>
  <c r="I232" i="21"/>
  <c r="K232" i="21"/>
  <c r="M232" i="21"/>
  <c r="C233" i="21"/>
  <c r="D233" i="21"/>
  <c r="E233" i="21"/>
  <c r="F233" i="21"/>
  <c r="G233" i="21"/>
  <c r="H233" i="21"/>
  <c r="I233" i="21"/>
  <c r="K233" i="21"/>
  <c r="M233" i="21"/>
  <c r="C234" i="21"/>
  <c r="D234" i="21"/>
  <c r="E234" i="21"/>
  <c r="F234" i="21"/>
  <c r="G234" i="21"/>
  <c r="H234" i="21"/>
  <c r="I234" i="21"/>
  <c r="K234" i="21"/>
  <c r="M234" i="21"/>
  <c r="C235" i="21"/>
  <c r="D235" i="21"/>
  <c r="E235" i="21"/>
  <c r="F235" i="21"/>
  <c r="G235" i="21"/>
  <c r="H235" i="21"/>
  <c r="I235" i="21"/>
  <c r="K235" i="21"/>
  <c r="M235" i="21"/>
  <c r="C236" i="21"/>
  <c r="D236" i="21"/>
  <c r="E236" i="21"/>
  <c r="F236" i="21"/>
  <c r="G236" i="21"/>
  <c r="H236" i="21"/>
  <c r="I236" i="21"/>
  <c r="K236" i="21"/>
  <c r="M236" i="21"/>
  <c r="C237" i="21"/>
  <c r="D237" i="21"/>
  <c r="E237" i="21"/>
  <c r="F237" i="21"/>
  <c r="G237" i="21"/>
  <c r="H237" i="21"/>
  <c r="I237" i="21"/>
  <c r="K237" i="21"/>
  <c r="M237" i="21"/>
  <c r="C238" i="21"/>
  <c r="D238" i="21"/>
  <c r="E238" i="21"/>
  <c r="F238" i="21"/>
  <c r="G238" i="21"/>
  <c r="H238" i="21"/>
  <c r="I238" i="21"/>
  <c r="K238" i="21"/>
  <c r="M238" i="21"/>
  <c r="C239" i="21"/>
  <c r="D239" i="21"/>
  <c r="E239" i="21"/>
  <c r="F239" i="21"/>
  <c r="G239" i="21"/>
  <c r="H239" i="21"/>
  <c r="I239" i="21"/>
  <c r="K239" i="21"/>
  <c r="M239" i="21"/>
  <c r="C240" i="21"/>
  <c r="D240" i="21"/>
  <c r="E240" i="21"/>
  <c r="F240" i="21"/>
  <c r="G240" i="21"/>
  <c r="H240" i="21"/>
  <c r="I240" i="21"/>
  <c r="K240" i="21"/>
  <c r="M240" i="21"/>
  <c r="C241" i="21"/>
  <c r="D241" i="21"/>
  <c r="E241" i="21"/>
  <c r="F241" i="21"/>
  <c r="G241" i="21"/>
  <c r="H241" i="21"/>
  <c r="I241" i="21"/>
  <c r="K241" i="21"/>
  <c r="M241" i="21"/>
  <c r="C242" i="21"/>
  <c r="D242" i="21"/>
  <c r="E242" i="21"/>
  <c r="F242" i="21"/>
  <c r="G242" i="21"/>
  <c r="H242" i="21"/>
  <c r="I242" i="21"/>
  <c r="K242" i="21"/>
  <c r="M242" i="21"/>
  <c r="C243" i="21"/>
  <c r="D243" i="21"/>
  <c r="E243" i="21"/>
  <c r="F243" i="21"/>
  <c r="G243" i="21"/>
  <c r="H243" i="21"/>
  <c r="I243" i="21"/>
  <c r="K243" i="21"/>
  <c r="M243" i="21"/>
  <c r="C244" i="21"/>
  <c r="D244" i="21"/>
  <c r="E244" i="21"/>
  <c r="F244" i="21"/>
  <c r="G244" i="21"/>
  <c r="H244" i="21"/>
  <c r="I244" i="21"/>
  <c r="K244" i="21"/>
  <c r="M244" i="21"/>
  <c r="C245" i="21"/>
  <c r="D245" i="21"/>
  <c r="E245" i="21"/>
  <c r="F245" i="21"/>
  <c r="G245" i="21"/>
  <c r="H245" i="21"/>
  <c r="I245" i="21"/>
  <c r="K245" i="21"/>
  <c r="M245" i="21"/>
  <c r="C246" i="21"/>
  <c r="D246" i="21"/>
  <c r="E246" i="21"/>
  <c r="F246" i="21"/>
  <c r="G246" i="21"/>
  <c r="H246" i="21"/>
  <c r="I246" i="21"/>
  <c r="K246" i="21"/>
  <c r="M246" i="21"/>
  <c r="C247" i="21"/>
  <c r="D247" i="21"/>
  <c r="E247" i="21"/>
  <c r="F247" i="21"/>
  <c r="G247" i="21"/>
  <c r="H247" i="21"/>
  <c r="I247" i="21"/>
  <c r="K247" i="21"/>
  <c r="M247" i="21"/>
  <c r="C248" i="21"/>
  <c r="D248" i="21"/>
  <c r="E248" i="21"/>
  <c r="F248" i="21"/>
  <c r="G248" i="21"/>
  <c r="H248" i="21"/>
  <c r="I248" i="21"/>
  <c r="K248" i="21"/>
  <c r="M248" i="21"/>
  <c r="C249" i="21"/>
  <c r="D249" i="21"/>
  <c r="E249" i="21"/>
  <c r="F249" i="21"/>
  <c r="G249" i="21"/>
  <c r="H249" i="21"/>
  <c r="I249" i="21"/>
  <c r="K249" i="21"/>
  <c r="M249" i="21"/>
  <c r="C250" i="21"/>
  <c r="D250" i="21"/>
  <c r="E250" i="21"/>
  <c r="F250" i="21"/>
  <c r="G250" i="21"/>
  <c r="H250" i="21"/>
  <c r="I250" i="21"/>
  <c r="K250" i="21"/>
  <c r="M250" i="21"/>
  <c r="C251" i="21"/>
  <c r="D251" i="21"/>
  <c r="E251" i="21"/>
  <c r="F251" i="21"/>
  <c r="G251" i="21"/>
  <c r="H251" i="21"/>
  <c r="I251" i="21"/>
  <c r="K251" i="21"/>
  <c r="M251" i="21"/>
  <c r="C252" i="21"/>
  <c r="D252" i="21"/>
  <c r="E252" i="21"/>
  <c r="F252" i="21"/>
  <c r="G252" i="21"/>
  <c r="H252" i="21"/>
  <c r="I252" i="21"/>
  <c r="K252" i="21"/>
  <c r="M252" i="21"/>
  <c r="C253" i="21"/>
  <c r="D253" i="21"/>
  <c r="E253" i="21"/>
  <c r="F253" i="21"/>
  <c r="G253" i="21"/>
  <c r="H253" i="21"/>
  <c r="I253" i="21"/>
  <c r="K253" i="21"/>
  <c r="M253" i="21"/>
  <c r="C254" i="21"/>
  <c r="D254" i="21"/>
  <c r="E254" i="21"/>
  <c r="F254" i="21"/>
  <c r="G254" i="21"/>
  <c r="H254" i="21"/>
  <c r="I254" i="21"/>
  <c r="K254" i="21"/>
  <c r="M254" i="21"/>
  <c r="C255" i="21"/>
  <c r="D255" i="21"/>
  <c r="E255" i="21"/>
  <c r="F255" i="21"/>
  <c r="G255" i="21"/>
  <c r="H255" i="21"/>
  <c r="I255" i="21"/>
  <c r="K255" i="21"/>
  <c r="M255" i="21"/>
  <c r="C256" i="21"/>
  <c r="D256" i="21"/>
  <c r="E256" i="21"/>
  <c r="F256" i="21"/>
  <c r="G256" i="21"/>
  <c r="H256" i="21"/>
  <c r="I256" i="21"/>
  <c r="K256" i="21"/>
  <c r="M256" i="21"/>
  <c r="C257" i="21"/>
  <c r="D257" i="21"/>
  <c r="E257" i="21"/>
  <c r="F257" i="21"/>
  <c r="G257" i="21"/>
  <c r="H257" i="21"/>
  <c r="I257" i="21"/>
  <c r="K257" i="21"/>
  <c r="M257" i="21"/>
  <c r="C258" i="21"/>
  <c r="D258" i="21"/>
  <c r="E258" i="21"/>
  <c r="F258" i="21"/>
  <c r="G258" i="21"/>
  <c r="H258" i="21"/>
  <c r="I258" i="21"/>
  <c r="K258" i="21"/>
  <c r="M258" i="21"/>
  <c r="C259" i="21"/>
  <c r="D259" i="21"/>
  <c r="E259" i="21"/>
  <c r="F259" i="21"/>
  <c r="G259" i="21"/>
  <c r="H259" i="21"/>
  <c r="I259" i="21"/>
  <c r="K259" i="21"/>
  <c r="M259" i="21"/>
  <c r="C260" i="21"/>
  <c r="D260" i="21"/>
  <c r="E260" i="21"/>
  <c r="F260" i="21"/>
  <c r="G260" i="21"/>
  <c r="H260" i="21"/>
  <c r="I260" i="21"/>
  <c r="K260" i="21"/>
  <c r="M260" i="21"/>
  <c r="C261" i="21"/>
  <c r="D261" i="21"/>
  <c r="E261" i="21"/>
  <c r="F261" i="21"/>
  <c r="G261" i="21"/>
  <c r="H261" i="21"/>
  <c r="I261" i="21"/>
  <c r="K261" i="21"/>
  <c r="M261" i="21"/>
  <c r="C262" i="21"/>
  <c r="D262" i="21"/>
  <c r="E262" i="21"/>
  <c r="F262" i="21"/>
  <c r="G262" i="21"/>
  <c r="H262" i="21"/>
  <c r="I262" i="21"/>
  <c r="K262" i="21"/>
  <c r="M262" i="21"/>
  <c r="C263" i="21"/>
  <c r="D263" i="21"/>
  <c r="E263" i="21"/>
  <c r="F263" i="21"/>
  <c r="G263" i="21"/>
  <c r="H263" i="21"/>
  <c r="I263" i="21"/>
  <c r="K263" i="21"/>
  <c r="M263" i="21"/>
  <c r="C264" i="21"/>
  <c r="D264" i="21"/>
  <c r="E264" i="21"/>
  <c r="F264" i="21"/>
  <c r="G264" i="21"/>
  <c r="H264" i="21"/>
  <c r="I264" i="21"/>
  <c r="K264" i="21"/>
  <c r="M264" i="21"/>
  <c r="C265" i="21"/>
  <c r="D265" i="21"/>
  <c r="E265" i="21"/>
  <c r="F265" i="21"/>
  <c r="G265" i="21"/>
  <c r="H265" i="21"/>
  <c r="I265" i="21"/>
  <c r="K265" i="21"/>
  <c r="M265" i="21"/>
  <c r="C266" i="21"/>
  <c r="D266" i="21"/>
  <c r="E266" i="21"/>
  <c r="F266" i="21"/>
  <c r="G266" i="21"/>
  <c r="H266" i="21"/>
  <c r="I266" i="21"/>
  <c r="K266" i="21"/>
  <c r="M266" i="21"/>
  <c r="C267" i="21"/>
  <c r="D267" i="21"/>
  <c r="E267" i="21"/>
  <c r="F267" i="21"/>
  <c r="G267" i="21"/>
  <c r="H267" i="21"/>
  <c r="I267" i="21"/>
  <c r="K267" i="21"/>
  <c r="M267" i="21"/>
  <c r="C268" i="21"/>
  <c r="D268" i="21"/>
  <c r="E268" i="21"/>
  <c r="F268" i="21"/>
  <c r="G268" i="21"/>
  <c r="H268" i="21"/>
  <c r="I268" i="21"/>
  <c r="K268" i="21"/>
  <c r="M268" i="21"/>
  <c r="C269" i="21"/>
  <c r="D269" i="21"/>
  <c r="E269" i="21"/>
  <c r="F269" i="21"/>
  <c r="G269" i="21"/>
  <c r="H269" i="21"/>
  <c r="I269" i="21"/>
  <c r="K269" i="21"/>
  <c r="M269" i="21"/>
  <c r="C270" i="21"/>
  <c r="D270" i="21"/>
  <c r="E270" i="21"/>
  <c r="F270" i="21"/>
  <c r="G270" i="21"/>
  <c r="H270" i="21"/>
  <c r="I270" i="21"/>
  <c r="K270" i="21"/>
  <c r="M270" i="21"/>
  <c r="C271" i="21"/>
  <c r="D271" i="21"/>
  <c r="E271" i="21"/>
  <c r="F271" i="21"/>
  <c r="G271" i="21"/>
  <c r="H271" i="21"/>
  <c r="I271" i="21"/>
  <c r="K271" i="21"/>
  <c r="M271" i="21"/>
  <c r="C272" i="21"/>
  <c r="D272" i="21"/>
  <c r="E272" i="21"/>
  <c r="F272" i="21"/>
  <c r="G272" i="21"/>
  <c r="H272" i="21"/>
  <c r="I272" i="21"/>
  <c r="K272" i="21"/>
  <c r="M272" i="21"/>
  <c r="C273" i="21"/>
  <c r="D273" i="21"/>
  <c r="E273" i="21"/>
  <c r="F273" i="21"/>
  <c r="G273" i="21"/>
  <c r="H273" i="21"/>
  <c r="I273" i="21"/>
  <c r="K273" i="21"/>
  <c r="M273" i="21"/>
  <c r="C274" i="21"/>
  <c r="D274" i="21"/>
  <c r="E274" i="21"/>
  <c r="F274" i="21"/>
  <c r="G274" i="21"/>
  <c r="H274" i="21"/>
  <c r="I274" i="21"/>
  <c r="K274" i="21"/>
  <c r="M274" i="21"/>
  <c r="C275" i="21"/>
  <c r="D275" i="21"/>
  <c r="E275" i="21"/>
  <c r="F275" i="21"/>
  <c r="G275" i="21"/>
  <c r="H275" i="21"/>
  <c r="I275" i="21"/>
  <c r="K275" i="21"/>
  <c r="M275" i="21"/>
  <c r="C276" i="21"/>
  <c r="D276" i="21"/>
  <c r="E276" i="21"/>
  <c r="F276" i="21"/>
  <c r="G276" i="21"/>
  <c r="H276" i="21"/>
  <c r="I276" i="21"/>
  <c r="K276" i="21"/>
  <c r="M276" i="21"/>
  <c r="C277" i="21"/>
  <c r="D277" i="21"/>
  <c r="E277" i="21"/>
  <c r="F277" i="21"/>
  <c r="G277" i="21"/>
  <c r="H277" i="21"/>
  <c r="I277" i="21"/>
  <c r="K277" i="21"/>
  <c r="M277" i="21"/>
  <c r="C278" i="21"/>
  <c r="D278" i="21"/>
  <c r="E278" i="21"/>
  <c r="F278" i="21"/>
  <c r="G278" i="21"/>
  <c r="H278" i="21"/>
  <c r="I278" i="21"/>
  <c r="K278" i="21"/>
  <c r="M278" i="21"/>
  <c r="C279" i="21"/>
  <c r="D279" i="21"/>
  <c r="E279" i="21"/>
  <c r="F279" i="21"/>
  <c r="G279" i="21"/>
  <c r="H279" i="21"/>
  <c r="I279" i="21"/>
  <c r="K279" i="21"/>
  <c r="M279" i="21"/>
  <c r="C280" i="21"/>
  <c r="D280" i="21"/>
  <c r="E280" i="21"/>
  <c r="F280" i="21"/>
  <c r="G280" i="21"/>
  <c r="H280" i="21"/>
  <c r="I280" i="21"/>
  <c r="K280" i="21"/>
  <c r="M280" i="21"/>
  <c r="C281" i="21"/>
  <c r="D281" i="21"/>
  <c r="E281" i="21"/>
  <c r="F281" i="21"/>
  <c r="G281" i="21"/>
  <c r="H281" i="21"/>
  <c r="I281" i="21"/>
  <c r="K281" i="21"/>
  <c r="M281" i="21"/>
  <c r="C282" i="21"/>
  <c r="D282" i="21"/>
  <c r="E282" i="21"/>
  <c r="F282" i="21"/>
  <c r="G282" i="21"/>
  <c r="H282" i="21"/>
  <c r="I282" i="21"/>
  <c r="K282" i="21"/>
  <c r="M282" i="21"/>
  <c r="C283" i="21"/>
  <c r="D283" i="21"/>
  <c r="E283" i="21"/>
  <c r="F283" i="21"/>
  <c r="G283" i="21"/>
  <c r="H283" i="21"/>
  <c r="I283" i="21"/>
  <c r="K283" i="21"/>
  <c r="M283" i="21"/>
  <c r="C284" i="21"/>
  <c r="D284" i="21"/>
  <c r="E284" i="21"/>
  <c r="F284" i="21"/>
  <c r="G284" i="21"/>
  <c r="H284" i="21"/>
  <c r="I284" i="21"/>
  <c r="K284" i="21"/>
  <c r="M284" i="21"/>
  <c r="C285" i="21"/>
  <c r="D285" i="21"/>
  <c r="E285" i="21"/>
  <c r="F285" i="21"/>
  <c r="G285" i="21"/>
  <c r="H285" i="21"/>
  <c r="I285" i="21"/>
  <c r="K285" i="21"/>
  <c r="M285" i="21"/>
  <c r="C286" i="21"/>
  <c r="D286" i="21"/>
  <c r="E286" i="21"/>
  <c r="F286" i="21"/>
  <c r="G286" i="21"/>
  <c r="H286" i="21"/>
  <c r="I286" i="21"/>
  <c r="K286" i="21"/>
  <c r="M286" i="21"/>
  <c r="C287" i="21"/>
  <c r="D287" i="21"/>
  <c r="E287" i="21"/>
  <c r="F287" i="21"/>
  <c r="G287" i="21"/>
  <c r="H287" i="21"/>
  <c r="I287" i="21"/>
  <c r="K287" i="21"/>
  <c r="M287" i="21"/>
  <c r="C288" i="21"/>
  <c r="D288" i="21"/>
  <c r="E288" i="21"/>
  <c r="F288" i="21"/>
  <c r="G288" i="21"/>
  <c r="H288" i="21"/>
  <c r="I288" i="21"/>
  <c r="K288" i="21"/>
  <c r="M288" i="21"/>
  <c r="C289" i="21"/>
  <c r="D289" i="21"/>
  <c r="E289" i="21"/>
  <c r="F289" i="21"/>
  <c r="G289" i="21"/>
  <c r="H289" i="21"/>
  <c r="I289" i="21"/>
  <c r="K289" i="21"/>
  <c r="M289" i="21"/>
  <c r="C290" i="21"/>
  <c r="D290" i="21"/>
  <c r="E290" i="21"/>
  <c r="F290" i="21"/>
  <c r="G290" i="21"/>
  <c r="H290" i="21"/>
  <c r="I290" i="21"/>
  <c r="K290" i="21"/>
  <c r="M290" i="21"/>
  <c r="C291" i="21"/>
  <c r="D291" i="21"/>
  <c r="E291" i="21"/>
  <c r="F291" i="21"/>
  <c r="G291" i="21"/>
  <c r="H291" i="21"/>
  <c r="I291" i="21"/>
  <c r="K291" i="21"/>
  <c r="M291" i="21"/>
  <c r="C292" i="21"/>
  <c r="D292" i="21"/>
  <c r="E292" i="21"/>
  <c r="F292" i="21"/>
  <c r="G292" i="21"/>
  <c r="H292" i="21"/>
  <c r="I292" i="21"/>
  <c r="K292" i="21"/>
  <c r="M292" i="21"/>
  <c r="C293" i="21"/>
  <c r="D293" i="21"/>
  <c r="E293" i="21"/>
  <c r="F293" i="21"/>
  <c r="G293" i="21"/>
  <c r="H293" i="21"/>
  <c r="I293" i="21"/>
  <c r="K293" i="21"/>
  <c r="M293" i="21"/>
  <c r="C294" i="21"/>
  <c r="D294" i="21"/>
  <c r="E294" i="21"/>
  <c r="F294" i="21"/>
  <c r="G294" i="21"/>
  <c r="H294" i="21"/>
  <c r="I294" i="21"/>
  <c r="K294" i="21"/>
  <c r="M294" i="21"/>
  <c r="C295" i="21"/>
  <c r="D295" i="21"/>
  <c r="E295" i="21"/>
  <c r="F295" i="21"/>
  <c r="G295" i="21"/>
  <c r="H295" i="21"/>
  <c r="I295" i="21"/>
  <c r="K295" i="21"/>
  <c r="M295" i="21"/>
  <c r="C296" i="21"/>
  <c r="D296" i="21"/>
  <c r="E296" i="21"/>
  <c r="F296" i="21"/>
  <c r="G296" i="21"/>
  <c r="H296" i="21"/>
  <c r="I296" i="21"/>
  <c r="K296" i="21"/>
  <c r="M296" i="21"/>
  <c r="C297" i="21"/>
  <c r="D297" i="21"/>
  <c r="E297" i="21"/>
  <c r="F297" i="21"/>
  <c r="G297" i="21"/>
  <c r="H297" i="21"/>
  <c r="I297" i="21"/>
  <c r="K297" i="21"/>
  <c r="M297" i="21"/>
  <c r="C298" i="21"/>
  <c r="D298" i="21"/>
  <c r="E298" i="21"/>
  <c r="F298" i="21"/>
  <c r="G298" i="21"/>
  <c r="H298" i="21"/>
  <c r="I298" i="21"/>
  <c r="K298" i="21"/>
  <c r="M298" i="21"/>
  <c r="C299" i="21"/>
  <c r="D299" i="21"/>
  <c r="E299" i="21"/>
  <c r="F299" i="21"/>
  <c r="G299" i="21"/>
  <c r="H299" i="21"/>
  <c r="I299" i="21"/>
  <c r="K299" i="21"/>
  <c r="M299" i="21"/>
  <c r="C300" i="21"/>
  <c r="D300" i="21"/>
  <c r="E300" i="21"/>
  <c r="F300" i="21"/>
  <c r="G300" i="21"/>
  <c r="H300" i="21"/>
  <c r="I300" i="21"/>
  <c r="K300" i="21"/>
  <c r="M300" i="21"/>
  <c r="C135" i="21"/>
  <c r="D135" i="21"/>
  <c r="E135" i="21"/>
  <c r="F135" i="21"/>
  <c r="G135" i="21"/>
  <c r="H135" i="21"/>
  <c r="I135" i="21"/>
  <c r="K135" i="21"/>
  <c r="M135" i="21"/>
  <c r="C136" i="21"/>
  <c r="D136" i="21"/>
  <c r="E136" i="21"/>
  <c r="F136" i="21"/>
  <c r="G136" i="21"/>
  <c r="H136" i="21"/>
  <c r="I136" i="21"/>
  <c r="K136" i="21"/>
  <c r="M136" i="21"/>
  <c r="C137" i="21"/>
  <c r="D137" i="21"/>
  <c r="E137" i="21"/>
  <c r="F137" i="21"/>
  <c r="G137" i="21"/>
  <c r="H137" i="21"/>
  <c r="I137" i="21"/>
  <c r="K137" i="21"/>
  <c r="M137" i="21"/>
  <c r="C138" i="21"/>
  <c r="D138" i="21"/>
  <c r="E138" i="21"/>
  <c r="F138" i="21"/>
  <c r="G138" i="21"/>
  <c r="H138" i="21"/>
  <c r="I138" i="21"/>
  <c r="K138" i="21"/>
  <c r="M138" i="21"/>
  <c r="C139" i="21"/>
  <c r="D139" i="21"/>
  <c r="E139" i="21"/>
  <c r="F139" i="21"/>
  <c r="G139" i="21"/>
  <c r="H139" i="21"/>
  <c r="I139" i="21"/>
  <c r="K139" i="21"/>
  <c r="M139" i="21"/>
  <c r="C140" i="21"/>
  <c r="D140" i="21"/>
  <c r="E140" i="21"/>
  <c r="F140" i="21"/>
  <c r="G140" i="21"/>
  <c r="H140" i="21"/>
  <c r="I140" i="21"/>
  <c r="K140" i="21"/>
  <c r="M140" i="21"/>
  <c r="C141" i="21"/>
  <c r="D141" i="21"/>
  <c r="E141" i="21"/>
  <c r="F141" i="21"/>
  <c r="G141" i="21"/>
  <c r="H141" i="21"/>
  <c r="I141" i="21"/>
  <c r="K141" i="21"/>
  <c r="M141" i="21"/>
  <c r="C142" i="21"/>
  <c r="D142" i="21"/>
  <c r="E142" i="21"/>
  <c r="F142" i="21"/>
  <c r="G142" i="21"/>
  <c r="H142" i="21"/>
  <c r="I142" i="21"/>
  <c r="K142" i="21"/>
  <c r="M142" i="21"/>
  <c r="C143" i="21"/>
  <c r="D143" i="21"/>
  <c r="E143" i="21"/>
  <c r="F143" i="21"/>
  <c r="G143" i="21"/>
  <c r="H143" i="21"/>
  <c r="I143" i="21"/>
  <c r="K143" i="21"/>
  <c r="M143" i="21"/>
  <c r="C144" i="21"/>
  <c r="D144" i="21"/>
  <c r="E144" i="21"/>
  <c r="F144" i="21"/>
  <c r="G144" i="21"/>
  <c r="H144" i="21"/>
  <c r="I144" i="21"/>
  <c r="K144" i="21"/>
  <c r="M144" i="21"/>
  <c r="C145" i="21"/>
  <c r="D145" i="21"/>
  <c r="E145" i="21"/>
  <c r="F145" i="21"/>
  <c r="G145" i="21"/>
  <c r="H145" i="21"/>
  <c r="I145" i="21"/>
  <c r="K145" i="21"/>
  <c r="M145" i="21"/>
  <c r="C146" i="21"/>
  <c r="D146" i="21"/>
  <c r="E146" i="21"/>
  <c r="F146" i="21"/>
  <c r="G146" i="21"/>
  <c r="H146" i="21"/>
  <c r="I146" i="21"/>
  <c r="K146" i="21"/>
  <c r="M146" i="21"/>
  <c r="C147" i="21"/>
  <c r="D147" i="21"/>
  <c r="E147" i="21"/>
  <c r="F147" i="21"/>
  <c r="G147" i="21"/>
  <c r="H147" i="21"/>
  <c r="I147" i="21"/>
  <c r="K147" i="21"/>
  <c r="M147" i="21"/>
  <c r="C148" i="21"/>
  <c r="D148" i="21"/>
  <c r="E148" i="21"/>
  <c r="F148" i="21"/>
  <c r="G148" i="21"/>
  <c r="H148" i="21"/>
  <c r="I148" i="21"/>
  <c r="K148" i="21"/>
  <c r="M148" i="21"/>
  <c r="C149" i="21"/>
  <c r="D149" i="21"/>
  <c r="E149" i="21"/>
  <c r="F149" i="21"/>
  <c r="G149" i="21"/>
  <c r="H149" i="21"/>
  <c r="I149" i="21"/>
  <c r="K149" i="21"/>
  <c r="M149" i="21"/>
  <c r="C150" i="21"/>
  <c r="D150" i="21"/>
  <c r="E150" i="21"/>
  <c r="F150" i="21"/>
  <c r="G150" i="21"/>
  <c r="H150" i="21"/>
  <c r="I150" i="21"/>
  <c r="K150" i="21"/>
  <c r="M150" i="21"/>
  <c r="C151" i="21"/>
  <c r="D151" i="21"/>
  <c r="E151" i="21"/>
  <c r="F151" i="21"/>
  <c r="G151" i="21"/>
  <c r="H151" i="21"/>
  <c r="I151" i="21"/>
  <c r="K151" i="21"/>
  <c r="M151" i="21"/>
  <c r="C152" i="21"/>
  <c r="D152" i="21"/>
  <c r="E152" i="21"/>
  <c r="F152" i="21"/>
  <c r="G152" i="21"/>
  <c r="H152" i="21"/>
  <c r="I152" i="21"/>
  <c r="K152" i="21"/>
  <c r="M152" i="21"/>
  <c r="C153" i="21"/>
  <c r="D153" i="21"/>
  <c r="E153" i="21"/>
  <c r="F153" i="21"/>
  <c r="G153" i="21"/>
  <c r="H153" i="21"/>
  <c r="I153" i="21"/>
  <c r="K153" i="21"/>
  <c r="M153" i="21"/>
  <c r="C154" i="21"/>
  <c r="D154" i="21"/>
  <c r="E154" i="21"/>
  <c r="F154" i="21"/>
  <c r="G154" i="21"/>
  <c r="H154" i="21"/>
  <c r="I154" i="21"/>
  <c r="K154" i="21"/>
  <c r="M154" i="21"/>
  <c r="C155" i="21"/>
  <c r="D155" i="21"/>
  <c r="E155" i="21"/>
  <c r="F155" i="21"/>
  <c r="G155" i="21"/>
  <c r="H155" i="21"/>
  <c r="I155" i="21"/>
  <c r="K155" i="21"/>
  <c r="M155" i="21"/>
  <c r="C156" i="21"/>
  <c r="D156" i="21"/>
  <c r="E156" i="21"/>
  <c r="F156" i="21"/>
  <c r="G156" i="21"/>
  <c r="H156" i="21"/>
  <c r="I156" i="21"/>
  <c r="K156" i="21"/>
  <c r="M156" i="21"/>
  <c r="C157" i="21"/>
  <c r="D157" i="21"/>
  <c r="E157" i="21"/>
  <c r="F157" i="21"/>
  <c r="G157" i="21"/>
  <c r="H157" i="21"/>
  <c r="I157" i="21"/>
  <c r="K157" i="21"/>
  <c r="M157" i="21"/>
  <c r="C158" i="21"/>
  <c r="D158" i="21"/>
  <c r="E158" i="21"/>
  <c r="F158" i="21"/>
  <c r="G158" i="21"/>
  <c r="H158" i="21"/>
  <c r="I158" i="21"/>
  <c r="K158" i="21"/>
  <c r="M158" i="21"/>
  <c r="C159" i="21"/>
  <c r="D159" i="21"/>
  <c r="E159" i="21"/>
  <c r="F159" i="21"/>
  <c r="G159" i="21"/>
  <c r="H159" i="21"/>
  <c r="I159" i="21"/>
  <c r="K159" i="21"/>
  <c r="M159" i="21"/>
  <c r="C160" i="21"/>
  <c r="D160" i="21"/>
  <c r="E160" i="21"/>
  <c r="F160" i="21"/>
  <c r="G160" i="21"/>
  <c r="H160" i="21"/>
  <c r="I160" i="21"/>
  <c r="K160" i="21"/>
  <c r="M160" i="21"/>
  <c r="C161" i="21"/>
  <c r="D161" i="21"/>
  <c r="E161" i="21"/>
  <c r="F161" i="21"/>
  <c r="G161" i="21"/>
  <c r="H161" i="21"/>
  <c r="I161" i="21"/>
  <c r="K161" i="21"/>
  <c r="M161" i="21"/>
  <c r="C162" i="21"/>
  <c r="D162" i="21"/>
  <c r="E162" i="21"/>
  <c r="F162" i="21"/>
  <c r="G162" i="21"/>
  <c r="H162" i="21"/>
  <c r="I162" i="21"/>
  <c r="K162" i="21"/>
  <c r="M162" i="21"/>
  <c r="C163" i="21"/>
  <c r="D163" i="21"/>
  <c r="E163" i="21"/>
  <c r="F163" i="21"/>
  <c r="G163" i="21"/>
  <c r="H163" i="21"/>
  <c r="I163" i="21"/>
  <c r="K163" i="21"/>
  <c r="M163" i="21"/>
  <c r="C164" i="21"/>
  <c r="D164" i="21"/>
  <c r="E164" i="21"/>
  <c r="F164" i="21"/>
  <c r="G164" i="21"/>
  <c r="H164" i="21"/>
  <c r="I164" i="21"/>
  <c r="K164" i="21"/>
  <c r="M164" i="21"/>
  <c r="C165" i="21"/>
  <c r="D165" i="21"/>
  <c r="E165" i="21"/>
  <c r="F165" i="21"/>
  <c r="G165" i="21"/>
  <c r="H165" i="21"/>
  <c r="I165" i="21"/>
  <c r="K165" i="21"/>
  <c r="M165" i="21"/>
  <c r="C166" i="21"/>
  <c r="D166" i="21"/>
  <c r="E166" i="21"/>
  <c r="F166" i="21"/>
  <c r="G166" i="21"/>
  <c r="H166" i="21"/>
  <c r="I166" i="21"/>
  <c r="K166" i="21"/>
  <c r="M166" i="21"/>
  <c r="C167" i="21"/>
  <c r="D167" i="21"/>
  <c r="E167" i="21"/>
  <c r="F167" i="21"/>
  <c r="G167" i="21"/>
  <c r="H167" i="21"/>
  <c r="I167" i="21"/>
  <c r="K167" i="21"/>
  <c r="M167" i="21"/>
  <c r="C168" i="21"/>
  <c r="D168" i="21"/>
  <c r="E168" i="21"/>
  <c r="F168" i="21"/>
  <c r="G168" i="21"/>
  <c r="H168" i="21"/>
  <c r="I168" i="21"/>
  <c r="K168" i="21"/>
  <c r="M168" i="21"/>
  <c r="C169" i="21"/>
  <c r="D169" i="21"/>
  <c r="E169" i="21"/>
  <c r="F169" i="21"/>
  <c r="G169" i="21"/>
  <c r="H169" i="21"/>
  <c r="I169" i="21"/>
  <c r="K169" i="21"/>
  <c r="M169" i="21"/>
  <c r="C170" i="21"/>
  <c r="D170" i="21"/>
  <c r="E170" i="21"/>
  <c r="F170" i="21"/>
  <c r="G170" i="21"/>
  <c r="H170" i="21"/>
  <c r="I170" i="21"/>
  <c r="K170" i="21"/>
  <c r="M170" i="21"/>
  <c r="C171" i="21"/>
  <c r="D171" i="21"/>
  <c r="E171" i="21"/>
  <c r="F171" i="21"/>
  <c r="G171" i="21"/>
  <c r="H171" i="21"/>
  <c r="I171" i="21"/>
  <c r="K171" i="21"/>
  <c r="M171" i="21"/>
  <c r="C172" i="21"/>
  <c r="D172" i="21"/>
  <c r="E172" i="21"/>
  <c r="F172" i="21"/>
  <c r="G172" i="21"/>
  <c r="H172" i="21"/>
  <c r="I172" i="21"/>
  <c r="K172" i="21"/>
  <c r="M172" i="21"/>
  <c r="C173" i="21"/>
  <c r="D173" i="21"/>
  <c r="E173" i="21"/>
  <c r="F173" i="21"/>
  <c r="G173" i="21"/>
  <c r="H173" i="21"/>
  <c r="I173" i="21"/>
  <c r="K173" i="21"/>
  <c r="M173" i="21"/>
  <c r="C174" i="21"/>
  <c r="D174" i="21"/>
  <c r="E174" i="21"/>
  <c r="F174" i="21"/>
  <c r="G174" i="21"/>
  <c r="H174" i="21"/>
  <c r="I174" i="21"/>
  <c r="K174" i="21"/>
  <c r="M174" i="21"/>
  <c r="C175" i="21"/>
  <c r="D175" i="21"/>
  <c r="E175" i="21"/>
  <c r="F175" i="21"/>
  <c r="G175" i="21"/>
  <c r="H175" i="21"/>
  <c r="I175" i="21"/>
  <c r="K175" i="21"/>
  <c r="M175" i="21"/>
  <c r="C176" i="21"/>
  <c r="D176" i="21"/>
  <c r="E176" i="21"/>
  <c r="F176" i="21"/>
  <c r="G176" i="21"/>
  <c r="H176" i="21"/>
  <c r="I176" i="21"/>
  <c r="K176" i="21"/>
  <c r="M176" i="21"/>
  <c r="C177" i="21"/>
  <c r="D177" i="21"/>
  <c r="E177" i="21"/>
  <c r="F177" i="21"/>
  <c r="G177" i="21"/>
  <c r="H177" i="21"/>
  <c r="I177" i="21"/>
  <c r="K177" i="21"/>
  <c r="M177" i="21"/>
  <c r="C178" i="21"/>
  <c r="D178" i="21"/>
  <c r="E178" i="21"/>
  <c r="F178" i="21"/>
  <c r="G178" i="21"/>
  <c r="H178" i="21"/>
  <c r="I178" i="21"/>
  <c r="K178" i="21"/>
  <c r="M178" i="21"/>
  <c r="C179" i="21"/>
  <c r="D179" i="21"/>
  <c r="E179" i="21"/>
  <c r="F179" i="21"/>
  <c r="G179" i="21"/>
  <c r="H179" i="21"/>
  <c r="I179" i="21"/>
  <c r="K179" i="21"/>
  <c r="M179" i="21"/>
  <c r="C180" i="21"/>
  <c r="D180" i="21"/>
  <c r="E180" i="21"/>
  <c r="F180" i="21"/>
  <c r="G180" i="21"/>
  <c r="H180" i="21"/>
  <c r="I180" i="21"/>
  <c r="K180" i="21"/>
  <c r="M180" i="21"/>
  <c r="C181" i="21"/>
  <c r="D181" i="21"/>
  <c r="E181" i="21"/>
  <c r="F181" i="21"/>
  <c r="G181" i="21"/>
  <c r="H181" i="21"/>
  <c r="I181" i="21"/>
  <c r="K181" i="21"/>
  <c r="M181" i="21"/>
  <c r="C182" i="21"/>
  <c r="D182" i="21"/>
  <c r="E182" i="21"/>
  <c r="F182" i="21"/>
  <c r="G182" i="21"/>
  <c r="H182" i="21"/>
  <c r="I182" i="21"/>
  <c r="K182" i="21"/>
  <c r="M182" i="21"/>
  <c r="C183" i="21"/>
  <c r="D183" i="21"/>
  <c r="E183" i="21"/>
  <c r="F183" i="21"/>
  <c r="G183" i="21"/>
  <c r="H183" i="21"/>
  <c r="I183" i="21"/>
  <c r="K183" i="21"/>
  <c r="M183" i="21"/>
  <c r="C184" i="21"/>
  <c r="D184" i="21"/>
  <c r="E184" i="21"/>
  <c r="F184" i="21"/>
  <c r="G184" i="21"/>
  <c r="H184" i="21"/>
  <c r="I184" i="21"/>
  <c r="K184" i="21"/>
  <c r="M184" i="21"/>
  <c r="C185" i="21"/>
  <c r="D185" i="21"/>
  <c r="E185" i="21"/>
  <c r="F185" i="21"/>
  <c r="G185" i="21"/>
  <c r="H185" i="21"/>
  <c r="I185" i="21"/>
  <c r="K185" i="21"/>
  <c r="M185" i="21"/>
  <c r="C186" i="21"/>
  <c r="D186" i="21"/>
  <c r="E186" i="21"/>
  <c r="F186" i="21"/>
  <c r="G186" i="21"/>
  <c r="H186" i="21"/>
  <c r="I186" i="21"/>
  <c r="K186" i="21"/>
  <c r="M186" i="21"/>
  <c r="C187" i="21"/>
  <c r="D187" i="21"/>
  <c r="E187" i="21"/>
  <c r="F187" i="21"/>
  <c r="G187" i="21"/>
  <c r="H187" i="21"/>
  <c r="I187" i="21"/>
  <c r="K187" i="21"/>
  <c r="M187" i="21"/>
  <c r="C188" i="21"/>
  <c r="D188" i="21"/>
  <c r="E188" i="21"/>
  <c r="F188" i="21"/>
  <c r="G188" i="21"/>
  <c r="H188" i="21"/>
  <c r="I188" i="21"/>
  <c r="K188" i="21"/>
  <c r="M188" i="21"/>
  <c r="C189" i="21"/>
  <c r="D189" i="21"/>
  <c r="E189" i="21"/>
  <c r="F189" i="21"/>
  <c r="G189" i="21"/>
  <c r="H189" i="21"/>
  <c r="I189" i="21"/>
  <c r="K189" i="21"/>
  <c r="M189" i="21"/>
  <c r="C190" i="21"/>
  <c r="D190" i="21"/>
  <c r="E190" i="21"/>
  <c r="F190" i="21"/>
  <c r="G190" i="21"/>
  <c r="H190" i="21"/>
  <c r="I190" i="21"/>
  <c r="K190" i="21"/>
  <c r="M190" i="21"/>
  <c r="C191" i="21"/>
  <c r="D191" i="21"/>
  <c r="E191" i="21"/>
  <c r="F191" i="21"/>
  <c r="G191" i="21"/>
  <c r="H191" i="21"/>
  <c r="I191" i="21"/>
  <c r="K191" i="21"/>
  <c r="M191" i="21"/>
  <c r="C192" i="21"/>
  <c r="D192" i="21"/>
  <c r="E192" i="21"/>
  <c r="F192" i="21"/>
  <c r="G192" i="21"/>
  <c r="H192" i="21"/>
  <c r="I192" i="21"/>
  <c r="K192" i="21"/>
  <c r="M192" i="21"/>
  <c r="C193" i="21"/>
  <c r="D193" i="21"/>
  <c r="E193" i="21"/>
  <c r="F193" i="21"/>
  <c r="G193" i="21"/>
  <c r="H193" i="21"/>
  <c r="I193" i="21"/>
  <c r="K193" i="21"/>
  <c r="M193" i="21"/>
  <c r="C194" i="21"/>
  <c r="D194" i="21"/>
  <c r="E194" i="21"/>
  <c r="F194" i="21"/>
  <c r="G194" i="21"/>
  <c r="H194" i="21"/>
  <c r="I194" i="21"/>
  <c r="K194" i="21"/>
  <c r="M194" i="21"/>
  <c r="C195" i="21"/>
  <c r="D195" i="21"/>
  <c r="E195" i="21"/>
  <c r="F195" i="21"/>
  <c r="G195" i="21"/>
  <c r="H195" i="21"/>
  <c r="I195" i="21"/>
  <c r="K195" i="21"/>
  <c r="M195" i="21"/>
  <c r="C196" i="21"/>
  <c r="D196" i="21"/>
  <c r="E196" i="21"/>
  <c r="F196" i="21"/>
  <c r="G196" i="21"/>
  <c r="H196" i="21"/>
  <c r="I196" i="21"/>
  <c r="K196" i="21"/>
  <c r="M196" i="21"/>
  <c r="C197" i="21"/>
  <c r="D197" i="21"/>
  <c r="E197" i="21"/>
  <c r="F197" i="21"/>
  <c r="G197" i="21"/>
  <c r="H197" i="21"/>
  <c r="I197" i="21"/>
  <c r="K197" i="21"/>
  <c r="M197" i="21"/>
  <c r="C198" i="21"/>
  <c r="D198" i="21"/>
  <c r="E198" i="21"/>
  <c r="F198" i="21"/>
  <c r="G198" i="21"/>
  <c r="H198" i="21"/>
  <c r="I198" i="21"/>
  <c r="K198" i="21"/>
  <c r="M198" i="21"/>
  <c r="C199" i="21"/>
  <c r="D199" i="21"/>
  <c r="E199" i="21"/>
  <c r="F199" i="21"/>
  <c r="G199" i="21"/>
  <c r="H199" i="21"/>
  <c r="I199" i="21"/>
  <c r="K199" i="21"/>
  <c r="M199" i="21"/>
  <c r="C200" i="21"/>
  <c r="D200" i="21"/>
  <c r="E200" i="21"/>
  <c r="F200" i="21"/>
  <c r="G200" i="21"/>
  <c r="H200" i="21"/>
  <c r="I200" i="21"/>
  <c r="K200" i="21"/>
  <c r="M200" i="21"/>
  <c r="C201" i="21"/>
  <c r="D201" i="21"/>
  <c r="E201" i="21"/>
  <c r="F201" i="21"/>
  <c r="G201" i="21"/>
  <c r="H201" i="21"/>
  <c r="I201" i="21"/>
  <c r="K201" i="21"/>
  <c r="M201" i="21"/>
  <c r="C202" i="21"/>
  <c r="D202" i="21"/>
  <c r="E202" i="21"/>
  <c r="F202" i="21"/>
  <c r="G202" i="21"/>
  <c r="H202" i="21"/>
  <c r="I202" i="21"/>
  <c r="K202" i="21"/>
  <c r="M202" i="21"/>
  <c r="C203" i="21"/>
  <c r="D203" i="21"/>
  <c r="E203" i="21"/>
  <c r="F203" i="21"/>
  <c r="G203" i="21"/>
  <c r="H203" i="21"/>
  <c r="I203" i="21"/>
  <c r="K203" i="21"/>
  <c r="M203" i="21"/>
  <c r="C204" i="21"/>
  <c r="D204" i="21"/>
  <c r="E204" i="21"/>
  <c r="F204" i="21"/>
  <c r="G204" i="21"/>
  <c r="H204" i="21"/>
  <c r="I204" i="21"/>
  <c r="K204" i="21"/>
  <c r="M204" i="21"/>
  <c r="C205" i="21"/>
  <c r="D205" i="21"/>
  <c r="E205" i="21"/>
  <c r="F205" i="21"/>
  <c r="G205" i="21"/>
  <c r="H205" i="21"/>
  <c r="I205" i="21"/>
  <c r="K205" i="21"/>
  <c r="M205" i="21"/>
  <c r="C206" i="21"/>
  <c r="D206" i="21"/>
  <c r="E206" i="21"/>
  <c r="F206" i="21"/>
  <c r="G206" i="21"/>
  <c r="H206" i="21"/>
  <c r="I206" i="21"/>
  <c r="K206" i="21"/>
  <c r="M206" i="21"/>
  <c r="C207" i="21"/>
  <c r="D207" i="21"/>
  <c r="E207" i="21"/>
  <c r="F207" i="21"/>
  <c r="G207" i="21"/>
  <c r="H207" i="21"/>
  <c r="I207" i="21"/>
  <c r="K207" i="21"/>
  <c r="M207" i="21"/>
  <c r="C208" i="21"/>
  <c r="D208" i="21"/>
  <c r="E208" i="21"/>
  <c r="F208" i="21"/>
  <c r="G208" i="21"/>
  <c r="H208" i="21"/>
  <c r="I208" i="21"/>
  <c r="K208" i="21"/>
  <c r="M208" i="21"/>
  <c r="C209" i="21"/>
  <c r="D209" i="21"/>
  <c r="E209" i="21"/>
  <c r="F209" i="21"/>
  <c r="G209" i="21"/>
  <c r="H209" i="21"/>
  <c r="I209" i="21"/>
  <c r="K209" i="21"/>
  <c r="M209" i="21"/>
  <c r="C210" i="21"/>
  <c r="D210" i="21"/>
  <c r="E210" i="21"/>
  <c r="F210" i="21"/>
  <c r="G210" i="21"/>
  <c r="H210" i="21"/>
  <c r="I210" i="21"/>
  <c r="K210" i="21"/>
  <c r="M210" i="21"/>
  <c r="C211" i="21"/>
  <c r="D211" i="21"/>
  <c r="E211" i="21"/>
  <c r="F211" i="21"/>
  <c r="G211" i="21"/>
  <c r="H211" i="21"/>
  <c r="I211" i="21"/>
  <c r="K211" i="21"/>
  <c r="M211" i="21"/>
  <c r="C212" i="21"/>
  <c r="D212" i="21"/>
  <c r="E212" i="21"/>
  <c r="F212" i="21"/>
  <c r="G212" i="21"/>
  <c r="H212" i="21"/>
  <c r="I212" i="21"/>
  <c r="K212" i="21"/>
  <c r="M212" i="21"/>
  <c r="C213" i="21"/>
  <c r="D213" i="21"/>
  <c r="E213" i="21"/>
  <c r="F213" i="21"/>
  <c r="G213" i="21"/>
  <c r="H213" i="21"/>
  <c r="I213" i="21"/>
  <c r="K213" i="21"/>
  <c r="M213" i="21"/>
  <c r="C214" i="21"/>
  <c r="D214" i="21"/>
  <c r="E214" i="21"/>
  <c r="F214" i="21"/>
  <c r="G214" i="21"/>
  <c r="H214" i="21"/>
  <c r="I214" i="21"/>
  <c r="K214" i="21"/>
  <c r="M214" i="21"/>
  <c r="C215" i="21"/>
  <c r="D215" i="21"/>
  <c r="E215" i="21"/>
  <c r="F215" i="21"/>
  <c r="G215" i="21"/>
  <c r="H215" i="21"/>
  <c r="I215" i="21"/>
  <c r="K215" i="21"/>
  <c r="M215" i="21"/>
  <c r="C216" i="21"/>
  <c r="D216" i="21"/>
  <c r="E216" i="21"/>
  <c r="F216" i="21"/>
  <c r="G216" i="21"/>
  <c r="H216" i="21"/>
  <c r="I216" i="21"/>
  <c r="K216" i="21"/>
  <c r="M216" i="21"/>
  <c r="C217" i="21"/>
  <c r="D217" i="21"/>
  <c r="E217" i="21"/>
  <c r="F217" i="21"/>
  <c r="G217" i="21"/>
  <c r="H217" i="21"/>
  <c r="I217" i="21"/>
  <c r="K217" i="21"/>
  <c r="M217" i="21"/>
  <c r="C218" i="21"/>
  <c r="D218" i="21"/>
  <c r="E218" i="21"/>
  <c r="F218" i="21"/>
  <c r="G218" i="21"/>
  <c r="H218" i="21"/>
  <c r="I218" i="21"/>
  <c r="K218" i="21"/>
  <c r="M218" i="21"/>
  <c r="C219" i="21"/>
  <c r="D219" i="21"/>
  <c r="E219" i="21"/>
  <c r="F219" i="21"/>
  <c r="G219" i="21"/>
  <c r="H219" i="21"/>
  <c r="I219" i="21"/>
  <c r="K219" i="21"/>
  <c r="M219" i="21"/>
  <c r="C220" i="21"/>
  <c r="D220" i="21"/>
  <c r="E220" i="21"/>
  <c r="F220" i="21"/>
  <c r="G220" i="21"/>
  <c r="H220" i="21"/>
  <c r="I220" i="21"/>
  <c r="K220" i="21"/>
  <c r="M220" i="21"/>
  <c r="C221" i="21"/>
  <c r="D221" i="21"/>
  <c r="E221" i="21"/>
  <c r="F221" i="21"/>
  <c r="G221" i="21"/>
  <c r="H221" i="21"/>
  <c r="I221" i="21"/>
  <c r="K221" i="21"/>
  <c r="M221" i="21"/>
  <c r="C222" i="21"/>
  <c r="D222" i="21"/>
  <c r="E222" i="21"/>
  <c r="F222" i="21"/>
  <c r="G222" i="21"/>
  <c r="H222" i="21"/>
  <c r="I222" i="21"/>
  <c r="K222" i="21"/>
  <c r="M222" i="21"/>
  <c r="C223" i="21"/>
  <c r="D223" i="21"/>
  <c r="E223" i="21"/>
  <c r="F223" i="21"/>
  <c r="G223" i="21"/>
  <c r="H223" i="21"/>
  <c r="I223" i="21"/>
  <c r="K223" i="21"/>
  <c r="M223" i="21"/>
  <c r="C224" i="21"/>
  <c r="D224" i="21"/>
  <c r="E224" i="21"/>
  <c r="F224" i="21"/>
  <c r="G224" i="21"/>
  <c r="H224" i="21"/>
  <c r="I224" i="21"/>
  <c r="K224" i="21"/>
  <c r="M224" i="21"/>
  <c r="C225" i="21"/>
  <c r="D225" i="21"/>
  <c r="E225" i="21"/>
  <c r="F225" i="21"/>
  <c r="G225" i="21"/>
  <c r="H225" i="21"/>
  <c r="I225" i="21"/>
  <c r="K225" i="21"/>
  <c r="M225" i="21"/>
  <c r="C226" i="21"/>
  <c r="D226" i="21"/>
  <c r="E226" i="21"/>
  <c r="F226" i="21"/>
  <c r="G226" i="21"/>
  <c r="H226" i="21"/>
  <c r="I226" i="21"/>
  <c r="K226" i="21"/>
  <c r="M226" i="21"/>
  <c r="C126" i="21"/>
  <c r="D126" i="21"/>
  <c r="E126" i="21"/>
  <c r="F126" i="21"/>
  <c r="G126" i="21"/>
  <c r="H126" i="21"/>
  <c r="I126" i="21"/>
  <c r="K126" i="21"/>
  <c r="M126" i="21"/>
  <c r="C127" i="21"/>
  <c r="D127" i="21"/>
  <c r="E127" i="21"/>
  <c r="F127" i="21"/>
  <c r="G127" i="21"/>
  <c r="H127" i="21"/>
  <c r="I127" i="21"/>
  <c r="K127" i="21"/>
  <c r="M127" i="21"/>
  <c r="C128" i="21"/>
  <c r="D128" i="21"/>
  <c r="E128" i="21"/>
  <c r="F128" i="21"/>
  <c r="G128" i="21"/>
  <c r="H128" i="21"/>
  <c r="I128" i="21"/>
  <c r="K128" i="21"/>
  <c r="M128" i="21"/>
  <c r="C129" i="21"/>
  <c r="D129" i="21"/>
  <c r="E129" i="21"/>
  <c r="F129" i="21"/>
  <c r="G129" i="21"/>
  <c r="H129" i="21"/>
  <c r="I129" i="21"/>
  <c r="K129" i="21"/>
  <c r="M129" i="21"/>
  <c r="C130" i="21"/>
  <c r="D130" i="21"/>
  <c r="E130" i="21"/>
  <c r="F130" i="21"/>
  <c r="G130" i="21"/>
  <c r="H130" i="21"/>
  <c r="I130" i="21"/>
  <c r="K130" i="21"/>
  <c r="M130" i="21"/>
  <c r="C131" i="21"/>
  <c r="D131" i="21"/>
  <c r="E131" i="21"/>
  <c r="F131" i="21"/>
  <c r="G131" i="21"/>
  <c r="H131" i="21"/>
  <c r="I131" i="21"/>
  <c r="K131" i="21"/>
  <c r="M131" i="21"/>
  <c r="C132" i="21"/>
  <c r="D132" i="21"/>
  <c r="E132" i="21"/>
  <c r="F132" i="21"/>
  <c r="G132" i="21"/>
  <c r="H132" i="21"/>
  <c r="I132" i="21"/>
  <c r="K132" i="21"/>
  <c r="M132" i="21"/>
  <c r="C133" i="21"/>
  <c r="D133" i="21"/>
  <c r="E133" i="21"/>
  <c r="F133" i="21"/>
  <c r="G133" i="21"/>
  <c r="H133" i="21"/>
  <c r="I133" i="21"/>
  <c r="K133" i="21"/>
  <c r="M133" i="21"/>
  <c r="C134" i="21"/>
  <c r="D134" i="21"/>
  <c r="E134" i="21"/>
  <c r="F134" i="21"/>
  <c r="G134" i="21"/>
  <c r="H134" i="21"/>
  <c r="I134" i="21"/>
  <c r="K134" i="21"/>
  <c r="M134" i="21"/>
  <c r="D9" i="21"/>
  <c r="E9" i="21"/>
  <c r="F9" i="21"/>
  <c r="G9" i="21"/>
  <c r="H9" i="21"/>
  <c r="I9" i="21"/>
  <c r="K9" i="21"/>
  <c r="M9" i="21"/>
  <c r="C9" i="21"/>
  <c r="U20" i="17"/>
  <c r="T20" i="17"/>
  <c r="T19" i="17"/>
  <c r="U19" i="17"/>
  <c r="U21" i="17" s="1"/>
  <c r="T21" i="17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Z42" i="21" l="1"/>
  <c r="Z19" i="21"/>
  <c r="AA19" i="21" l="1"/>
  <c r="AA21" i="21" s="1"/>
  <c r="Z21" i="21"/>
  <c r="Z44" i="21"/>
  <c r="AA42" i="21"/>
  <c r="AA44" i="21" s="1"/>
  <c r="AA64" i="21"/>
  <c r="AA65" i="21" s="1"/>
  <c r="Z65" i="21"/>
  <c r="K334" i="17" l="1"/>
  <c r="T13" i="17" s="1"/>
  <c r="L333" i="17"/>
  <c r="L332" i="17"/>
  <c r="L331" i="17"/>
  <c r="L330" i="17"/>
  <c r="L329" i="17"/>
  <c r="L334" i="17" s="1"/>
  <c r="U13" i="17" s="1"/>
  <c r="M389" i="1"/>
  <c r="M390" i="1"/>
  <c r="M391" i="1"/>
  <c r="M392" i="1"/>
  <c r="M388" i="1"/>
  <c r="T14" i="17"/>
  <c r="T8" i="17"/>
  <c r="F337" i="17"/>
  <c r="S36" i="17"/>
  <c r="Q35" i="17"/>
  <c r="R35" i="17"/>
  <c r="S35" i="17"/>
  <c r="T35" i="17"/>
  <c r="T36" i="17"/>
  <c r="R36" i="17"/>
  <c r="Q36" i="17"/>
  <c r="T33" i="17"/>
  <c r="S33" i="17"/>
  <c r="R33" i="17"/>
  <c r="T34" i="17"/>
  <c r="S34" i="17"/>
  <c r="Q33" i="17"/>
  <c r="Q34" i="17"/>
  <c r="R34" i="17"/>
  <c r="X15" i="1"/>
  <c r="R41" i="17" s="1"/>
  <c r="T7" i="17"/>
  <c r="U14" i="17" l="1"/>
  <c r="T15" i="17"/>
  <c r="U15" i="17"/>
  <c r="Q37" i="17"/>
  <c r="R37" i="17"/>
  <c r="T37" i="17"/>
  <c r="S37" i="17"/>
  <c r="U34" i="17"/>
  <c r="U33" i="17"/>
  <c r="U36" i="17"/>
  <c r="U35" i="17"/>
  <c r="T9" i="17"/>
  <c r="F349" i="17"/>
  <c r="F348" i="17"/>
  <c r="F347" i="17"/>
  <c r="F346" i="17"/>
  <c r="F345" i="17"/>
  <c r="F333" i="17"/>
  <c r="F332" i="17"/>
  <c r="F331" i="17"/>
  <c r="F330" i="17"/>
  <c r="F329" i="17"/>
  <c r="K324" i="17"/>
  <c r="A324" i="17"/>
  <c r="K322" i="17"/>
  <c r="L134" i="21" s="1"/>
  <c r="K321" i="17"/>
  <c r="L133" i="21" s="1"/>
  <c r="K320" i="17"/>
  <c r="L132" i="21" s="1"/>
  <c r="K319" i="17"/>
  <c r="L131" i="21" s="1"/>
  <c r="K318" i="17"/>
  <c r="L130" i="21" s="1"/>
  <c r="K317" i="17"/>
  <c r="L129" i="21" s="1"/>
  <c r="K316" i="17"/>
  <c r="L128" i="21" s="1"/>
  <c r="K315" i="17"/>
  <c r="L127" i="21" s="1"/>
  <c r="K314" i="17"/>
  <c r="L126" i="21" s="1"/>
  <c r="K313" i="17"/>
  <c r="L226" i="21" s="1"/>
  <c r="K312" i="17"/>
  <c r="L225" i="21" s="1"/>
  <c r="K311" i="17"/>
  <c r="L224" i="21" s="1"/>
  <c r="K310" i="17"/>
  <c r="L223" i="21" s="1"/>
  <c r="K309" i="17"/>
  <c r="L222" i="21" s="1"/>
  <c r="K308" i="17"/>
  <c r="L221" i="21" s="1"/>
  <c r="K307" i="17"/>
  <c r="L220" i="21" s="1"/>
  <c r="K306" i="17"/>
  <c r="L219" i="21" s="1"/>
  <c r="K305" i="17"/>
  <c r="L218" i="21" s="1"/>
  <c r="K304" i="17"/>
  <c r="L217" i="21" s="1"/>
  <c r="K303" i="17"/>
  <c r="L216" i="21" s="1"/>
  <c r="K302" i="17"/>
  <c r="L215" i="21" s="1"/>
  <c r="K301" i="17"/>
  <c r="L214" i="21" s="1"/>
  <c r="K300" i="17"/>
  <c r="L213" i="21" s="1"/>
  <c r="K299" i="17"/>
  <c r="L212" i="21" s="1"/>
  <c r="K298" i="17"/>
  <c r="L211" i="21" s="1"/>
  <c r="K297" i="17"/>
  <c r="L210" i="21" s="1"/>
  <c r="K296" i="17"/>
  <c r="L209" i="21" s="1"/>
  <c r="K295" i="17"/>
  <c r="L208" i="21" s="1"/>
  <c r="K294" i="17"/>
  <c r="L207" i="21" s="1"/>
  <c r="K293" i="17"/>
  <c r="L206" i="21" s="1"/>
  <c r="K292" i="17"/>
  <c r="L205" i="21" s="1"/>
  <c r="K291" i="17"/>
  <c r="L204" i="21" s="1"/>
  <c r="K290" i="17"/>
  <c r="L203" i="21" s="1"/>
  <c r="K289" i="17"/>
  <c r="L202" i="21" s="1"/>
  <c r="K288" i="17"/>
  <c r="L201" i="21" s="1"/>
  <c r="K287" i="17"/>
  <c r="L200" i="21" s="1"/>
  <c r="K286" i="17"/>
  <c r="L199" i="21" s="1"/>
  <c r="K285" i="17"/>
  <c r="L198" i="21" s="1"/>
  <c r="K284" i="17"/>
  <c r="L197" i="21" s="1"/>
  <c r="K283" i="17"/>
  <c r="L196" i="21" s="1"/>
  <c r="K282" i="17"/>
  <c r="L195" i="21" s="1"/>
  <c r="K281" i="17"/>
  <c r="L194" i="21" s="1"/>
  <c r="K280" i="17"/>
  <c r="L193" i="21" s="1"/>
  <c r="K279" i="17"/>
  <c r="L192" i="21" s="1"/>
  <c r="K278" i="17"/>
  <c r="L191" i="21" s="1"/>
  <c r="K277" i="17"/>
  <c r="L190" i="21" s="1"/>
  <c r="K276" i="17"/>
  <c r="L189" i="21" s="1"/>
  <c r="K275" i="17"/>
  <c r="L188" i="21" s="1"/>
  <c r="K274" i="17"/>
  <c r="L187" i="21" s="1"/>
  <c r="K273" i="17"/>
  <c r="L186" i="21" s="1"/>
  <c r="K272" i="17"/>
  <c r="L185" i="21" s="1"/>
  <c r="K271" i="17"/>
  <c r="L184" i="21" s="1"/>
  <c r="K270" i="17"/>
  <c r="L183" i="21" s="1"/>
  <c r="K269" i="17"/>
  <c r="L182" i="21" s="1"/>
  <c r="K268" i="17"/>
  <c r="L181" i="21" s="1"/>
  <c r="K267" i="17"/>
  <c r="L180" i="21" s="1"/>
  <c r="K266" i="17"/>
  <c r="L179" i="21" s="1"/>
  <c r="K265" i="17"/>
  <c r="L178" i="21" s="1"/>
  <c r="K264" i="17"/>
  <c r="L177" i="21" s="1"/>
  <c r="K263" i="17"/>
  <c r="L176" i="21" s="1"/>
  <c r="K262" i="17"/>
  <c r="L175" i="21" s="1"/>
  <c r="K261" i="17"/>
  <c r="L174" i="21" s="1"/>
  <c r="K260" i="17"/>
  <c r="L173" i="21" s="1"/>
  <c r="K259" i="17"/>
  <c r="L172" i="21" s="1"/>
  <c r="K258" i="17"/>
  <c r="L171" i="21" s="1"/>
  <c r="K257" i="17"/>
  <c r="L170" i="21" s="1"/>
  <c r="K256" i="17"/>
  <c r="L169" i="21" s="1"/>
  <c r="K255" i="17"/>
  <c r="L168" i="21" s="1"/>
  <c r="K254" i="17"/>
  <c r="L167" i="21" s="1"/>
  <c r="K253" i="17"/>
  <c r="L166" i="21" s="1"/>
  <c r="K252" i="17"/>
  <c r="L165" i="21" s="1"/>
  <c r="K251" i="17"/>
  <c r="L164" i="21" s="1"/>
  <c r="K250" i="17"/>
  <c r="L163" i="21" s="1"/>
  <c r="K249" i="17"/>
  <c r="L162" i="21" s="1"/>
  <c r="K248" i="17"/>
  <c r="L161" i="21" s="1"/>
  <c r="K247" i="17"/>
  <c r="L160" i="21" s="1"/>
  <c r="K246" i="17"/>
  <c r="L159" i="21" s="1"/>
  <c r="K245" i="17"/>
  <c r="L158" i="21" s="1"/>
  <c r="K244" i="17"/>
  <c r="L157" i="21" s="1"/>
  <c r="K243" i="17"/>
  <c r="L156" i="21" s="1"/>
  <c r="K242" i="17"/>
  <c r="L155" i="21" s="1"/>
  <c r="K241" i="17"/>
  <c r="L154" i="21" s="1"/>
  <c r="K240" i="17"/>
  <c r="L153" i="21" s="1"/>
  <c r="K239" i="17"/>
  <c r="L152" i="21" s="1"/>
  <c r="K238" i="17"/>
  <c r="L151" i="21" s="1"/>
  <c r="K237" i="17"/>
  <c r="L150" i="21" s="1"/>
  <c r="K236" i="17"/>
  <c r="L149" i="21" s="1"/>
  <c r="K235" i="17"/>
  <c r="L148" i="21" s="1"/>
  <c r="K234" i="17"/>
  <c r="L147" i="21" s="1"/>
  <c r="K233" i="17"/>
  <c r="L146" i="21" s="1"/>
  <c r="K232" i="17"/>
  <c r="L145" i="21" s="1"/>
  <c r="K231" i="17"/>
  <c r="L144" i="21" s="1"/>
  <c r="K230" i="17"/>
  <c r="L143" i="21" s="1"/>
  <c r="K229" i="17"/>
  <c r="L142" i="21" s="1"/>
  <c r="K228" i="17"/>
  <c r="L141" i="21" s="1"/>
  <c r="K227" i="17"/>
  <c r="L140" i="21" s="1"/>
  <c r="K226" i="17"/>
  <c r="L139" i="21" s="1"/>
  <c r="K225" i="17"/>
  <c r="L138" i="21" s="1"/>
  <c r="K224" i="17"/>
  <c r="L137" i="21" s="1"/>
  <c r="K223" i="17"/>
  <c r="L136" i="21" s="1"/>
  <c r="K222" i="17"/>
  <c r="L135" i="21" s="1"/>
  <c r="K221" i="17"/>
  <c r="L300" i="21" s="1"/>
  <c r="K220" i="17"/>
  <c r="L299" i="21" s="1"/>
  <c r="K219" i="17"/>
  <c r="L298" i="21" s="1"/>
  <c r="K218" i="17"/>
  <c r="L297" i="21" s="1"/>
  <c r="K217" i="17"/>
  <c r="L296" i="21" s="1"/>
  <c r="K216" i="17"/>
  <c r="L295" i="21" s="1"/>
  <c r="K215" i="17"/>
  <c r="L294" i="21" s="1"/>
  <c r="K214" i="17"/>
  <c r="L293" i="21" s="1"/>
  <c r="K213" i="17"/>
  <c r="L292" i="21" s="1"/>
  <c r="K212" i="17"/>
  <c r="L291" i="21" s="1"/>
  <c r="K211" i="17"/>
  <c r="L290" i="21" s="1"/>
  <c r="K210" i="17"/>
  <c r="L289" i="21" s="1"/>
  <c r="K209" i="17"/>
  <c r="L288" i="21" s="1"/>
  <c r="K208" i="17"/>
  <c r="L287" i="21" s="1"/>
  <c r="K207" i="17"/>
  <c r="L286" i="21" s="1"/>
  <c r="K206" i="17"/>
  <c r="L285" i="21" s="1"/>
  <c r="K205" i="17"/>
  <c r="L284" i="21" s="1"/>
  <c r="K204" i="17"/>
  <c r="L283" i="21" s="1"/>
  <c r="K203" i="17"/>
  <c r="L282" i="21" s="1"/>
  <c r="K202" i="17"/>
  <c r="L281" i="21" s="1"/>
  <c r="K201" i="17"/>
  <c r="L280" i="21" s="1"/>
  <c r="K200" i="17"/>
  <c r="L279" i="21" s="1"/>
  <c r="K199" i="17"/>
  <c r="L278" i="21" s="1"/>
  <c r="K198" i="17"/>
  <c r="L277" i="21" s="1"/>
  <c r="K197" i="17"/>
  <c r="L276" i="21" s="1"/>
  <c r="K196" i="17"/>
  <c r="L275" i="21" s="1"/>
  <c r="K195" i="17"/>
  <c r="L274" i="21" s="1"/>
  <c r="K194" i="17"/>
  <c r="L273" i="21" s="1"/>
  <c r="K193" i="17"/>
  <c r="L272" i="21" s="1"/>
  <c r="K192" i="17"/>
  <c r="L271" i="21" s="1"/>
  <c r="K191" i="17"/>
  <c r="L270" i="21" s="1"/>
  <c r="K190" i="17"/>
  <c r="L269" i="21" s="1"/>
  <c r="K189" i="17"/>
  <c r="L268" i="21" s="1"/>
  <c r="K188" i="17"/>
  <c r="L267" i="21" s="1"/>
  <c r="K187" i="17"/>
  <c r="L266" i="21" s="1"/>
  <c r="K186" i="17"/>
  <c r="L265" i="21" s="1"/>
  <c r="K185" i="17"/>
  <c r="L264" i="21" s="1"/>
  <c r="K184" i="17"/>
  <c r="L263" i="21" s="1"/>
  <c r="K183" i="17"/>
  <c r="L262" i="21" s="1"/>
  <c r="K182" i="17"/>
  <c r="L261" i="21" s="1"/>
  <c r="K181" i="17"/>
  <c r="L260" i="21" s="1"/>
  <c r="K180" i="17"/>
  <c r="L259" i="21" s="1"/>
  <c r="K179" i="17"/>
  <c r="L258" i="21" s="1"/>
  <c r="K178" i="17"/>
  <c r="L257" i="21" s="1"/>
  <c r="K177" i="17"/>
  <c r="L256" i="21" s="1"/>
  <c r="K176" i="17"/>
  <c r="L255" i="21" s="1"/>
  <c r="K175" i="17"/>
  <c r="L254" i="21" s="1"/>
  <c r="K174" i="17"/>
  <c r="L253" i="21" s="1"/>
  <c r="K173" i="17"/>
  <c r="L252" i="21" s="1"/>
  <c r="K172" i="17"/>
  <c r="L251" i="21" s="1"/>
  <c r="K171" i="17"/>
  <c r="L250" i="21" s="1"/>
  <c r="K170" i="17"/>
  <c r="L249" i="21" s="1"/>
  <c r="K169" i="17"/>
  <c r="L248" i="21" s="1"/>
  <c r="K168" i="17"/>
  <c r="L247" i="21" s="1"/>
  <c r="K167" i="17"/>
  <c r="L246" i="21" s="1"/>
  <c r="K166" i="17"/>
  <c r="L245" i="21" s="1"/>
  <c r="K165" i="17"/>
  <c r="L244" i="21" s="1"/>
  <c r="K164" i="17"/>
  <c r="L243" i="21" s="1"/>
  <c r="K163" i="17"/>
  <c r="L242" i="21" s="1"/>
  <c r="K162" i="17"/>
  <c r="L241" i="21" s="1"/>
  <c r="K161" i="17"/>
  <c r="L240" i="21" s="1"/>
  <c r="K160" i="17"/>
  <c r="L239" i="21" s="1"/>
  <c r="K159" i="17"/>
  <c r="L238" i="21" s="1"/>
  <c r="K158" i="17"/>
  <c r="L237" i="21" s="1"/>
  <c r="K157" i="17"/>
  <c r="L236" i="21" s="1"/>
  <c r="K156" i="17"/>
  <c r="L235" i="21" s="1"/>
  <c r="K155" i="17"/>
  <c r="L234" i="21" s="1"/>
  <c r="K154" i="17"/>
  <c r="L233" i="21" s="1"/>
  <c r="K153" i="17"/>
  <c r="L232" i="21" s="1"/>
  <c r="K152" i="17"/>
  <c r="L231" i="21" s="1"/>
  <c r="K151" i="17"/>
  <c r="L230" i="21" s="1"/>
  <c r="K150" i="17"/>
  <c r="L229" i="21" s="1"/>
  <c r="K149" i="17"/>
  <c r="L228" i="21" s="1"/>
  <c r="K148" i="17"/>
  <c r="L227" i="21" s="1"/>
  <c r="K147" i="17"/>
  <c r="L80" i="21" s="1"/>
  <c r="K146" i="17"/>
  <c r="L79" i="21" s="1"/>
  <c r="K145" i="17"/>
  <c r="L78" i="21" s="1"/>
  <c r="K144" i="17"/>
  <c r="L77" i="21" s="1"/>
  <c r="K143" i="17"/>
  <c r="L76" i="21" s="1"/>
  <c r="K142" i="17"/>
  <c r="L75" i="21" s="1"/>
  <c r="K141" i="17"/>
  <c r="L74" i="21" s="1"/>
  <c r="K140" i="17"/>
  <c r="L73" i="21" s="1"/>
  <c r="K139" i="17"/>
  <c r="L72" i="21" s="1"/>
  <c r="K138" i="17"/>
  <c r="L71" i="21" s="1"/>
  <c r="K137" i="17"/>
  <c r="L70" i="21" s="1"/>
  <c r="K136" i="17"/>
  <c r="L69" i="21" s="1"/>
  <c r="K135" i="17"/>
  <c r="L68" i="21" s="1"/>
  <c r="K134" i="17"/>
  <c r="L67" i="21" s="1"/>
  <c r="K133" i="17"/>
  <c r="L66" i="21" s="1"/>
  <c r="K132" i="17"/>
  <c r="L65" i="21" s="1"/>
  <c r="K131" i="17"/>
  <c r="L64" i="21" s="1"/>
  <c r="K130" i="17"/>
  <c r="L63" i="21" s="1"/>
  <c r="K129" i="17"/>
  <c r="L62" i="21" s="1"/>
  <c r="K128" i="17"/>
  <c r="L61" i="21" s="1"/>
  <c r="K127" i="17"/>
  <c r="L60" i="21" s="1"/>
  <c r="K126" i="17"/>
  <c r="L59" i="21" s="1"/>
  <c r="K125" i="17"/>
  <c r="L58" i="21" s="1"/>
  <c r="K124" i="17"/>
  <c r="L57" i="21" s="1"/>
  <c r="K123" i="17"/>
  <c r="L56" i="21" s="1"/>
  <c r="K122" i="17"/>
  <c r="L55" i="21" s="1"/>
  <c r="K121" i="17"/>
  <c r="L54" i="21" s="1"/>
  <c r="K120" i="17"/>
  <c r="L328" i="21" s="1"/>
  <c r="K119" i="17"/>
  <c r="L327" i="21" s="1"/>
  <c r="K118" i="17"/>
  <c r="L326" i="21" s="1"/>
  <c r="K117" i="17"/>
  <c r="L325" i="21" s="1"/>
  <c r="K116" i="17"/>
  <c r="L324" i="21" s="1"/>
  <c r="K115" i="17"/>
  <c r="L323" i="21" s="1"/>
  <c r="K114" i="17"/>
  <c r="L322" i="21" s="1"/>
  <c r="K113" i="17"/>
  <c r="L321" i="21" s="1"/>
  <c r="K112" i="17"/>
  <c r="L320" i="21" s="1"/>
  <c r="K111" i="17"/>
  <c r="L319" i="21" s="1"/>
  <c r="K110" i="17"/>
  <c r="L318" i="21" s="1"/>
  <c r="K109" i="17"/>
  <c r="L317" i="21" s="1"/>
  <c r="K108" i="17"/>
  <c r="L316" i="21" s="1"/>
  <c r="K107" i="17"/>
  <c r="L315" i="21" s="1"/>
  <c r="K106" i="17"/>
  <c r="L314" i="21" s="1"/>
  <c r="K105" i="17"/>
  <c r="L313" i="21" s="1"/>
  <c r="K104" i="17"/>
  <c r="L312" i="21" s="1"/>
  <c r="K103" i="17"/>
  <c r="L311" i="21" s="1"/>
  <c r="K102" i="17"/>
  <c r="L310" i="21" s="1"/>
  <c r="K101" i="17"/>
  <c r="L309" i="21" s="1"/>
  <c r="K100" i="17"/>
  <c r="L308" i="21" s="1"/>
  <c r="K99" i="17"/>
  <c r="L307" i="21" s="1"/>
  <c r="K98" i="17"/>
  <c r="L306" i="21" s="1"/>
  <c r="K97" i="17"/>
  <c r="L305" i="21" s="1"/>
  <c r="K96" i="17"/>
  <c r="L304" i="21" s="1"/>
  <c r="K95" i="17"/>
  <c r="L303" i="21" s="1"/>
  <c r="K94" i="17"/>
  <c r="L302" i="21" s="1"/>
  <c r="K93" i="17"/>
  <c r="L301" i="21" s="1"/>
  <c r="K92" i="17"/>
  <c r="L125" i="21" s="1"/>
  <c r="K91" i="17"/>
  <c r="L124" i="21" s="1"/>
  <c r="K90" i="17"/>
  <c r="L123" i="21" s="1"/>
  <c r="K89" i="17"/>
  <c r="L122" i="21" s="1"/>
  <c r="K88" i="17"/>
  <c r="L121" i="21" s="1"/>
  <c r="K87" i="17"/>
  <c r="L120" i="21" s="1"/>
  <c r="K86" i="17"/>
  <c r="L119" i="21" s="1"/>
  <c r="K85" i="17"/>
  <c r="L118" i="21" s="1"/>
  <c r="K84" i="17"/>
  <c r="L117" i="21" s="1"/>
  <c r="K83" i="17"/>
  <c r="L116" i="21" s="1"/>
  <c r="K82" i="17"/>
  <c r="L115" i="21" s="1"/>
  <c r="K81" i="17"/>
  <c r="L114" i="21" s="1"/>
  <c r="K80" i="17"/>
  <c r="L113" i="21" s="1"/>
  <c r="K79" i="17"/>
  <c r="L112" i="21" s="1"/>
  <c r="K78" i="17"/>
  <c r="L111" i="21" s="1"/>
  <c r="K77" i="17"/>
  <c r="L110" i="21" s="1"/>
  <c r="K76" i="17"/>
  <c r="L109" i="21" s="1"/>
  <c r="K75" i="17"/>
  <c r="L108" i="21" s="1"/>
  <c r="K74" i="17"/>
  <c r="L107" i="21" s="1"/>
  <c r="K73" i="17"/>
  <c r="L106" i="21" s="1"/>
  <c r="K72" i="17"/>
  <c r="L105" i="21" s="1"/>
  <c r="K71" i="17"/>
  <c r="L104" i="21" s="1"/>
  <c r="K70" i="17"/>
  <c r="L103" i="21" s="1"/>
  <c r="K69" i="17"/>
  <c r="L102" i="21" s="1"/>
  <c r="K68" i="17"/>
  <c r="L101" i="21" s="1"/>
  <c r="K67" i="17"/>
  <c r="L100" i="21" s="1"/>
  <c r="K66" i="17"/>
  <c r="L99" i="21" s="1"/>
  <c r="K65" i="17"/>
  <c r="L98" i="21" s="1"/>
  <c r="K64" i="17"/>
  <c r="L97" i="21" s="1"/>
  <c r="K63" i="17"/>
  <c r="L96" i="21" s="1"/>
  <c r="K62" i="17"/>
  <c r="L95" i="21" s="1"/>
  <c r="K61" i="17"/>
  <c r="L94" i="21" s="1"/>
  <c r="K60" i="17"/>
  <c r="L93" i="21" s="1"/>
  <c r="K59" i="17"/>
  <c r="L92" i="21" s="1"/>
  <c r="K58" i="17"/>
  <c r="L91" i="21" s="1"/>
  <c r="K57" i="17"/>
  <c r="L90" i="21" s="1"/>
  <c r="K56" i="17"/>
  <c r="L89" i="21" s="1"/>
  <c r="K55" i="17"/>
  <c r="L88" i="21" s="1"/>
  <c r="K54" i="17"/>
  <c r="L87" i="21" s="1"/>
  <c r="K53" i="17"/>
  <c r="L86" i="21" s="1"/>
  <c r="K52" i="17"/>
  <c r="L85" i="21" s="1"/>
  <c r="K51" i="17"/>
  <c r="L84" i="21" s="1"/>
  <c r="K50" i="17"/>
  <c r="L83" i="21" s="1"/>
  <c r="K49" i="17"/>
  <c r="L82" i="21" s="1"/>
  <c r="K48" i="17"/>
  <c r="L81" i="21" s="1"/>
  <c r="K47" i="17"/>
  <c r="L53" i="21" s="1"/>
  <c r="K46" i="17"/>
  <c r="L52" i="21" s="1"/>
  <c r="K45" i="17"/>
  <c r="L51" i="21" s="1"/>
  <c r="K44" i="17"/>
  <c r="L50" i="21" s="1"/>
  <c r="K43" i="17"/>
  <c r="L49" i="21" s="1"/>
  <c r="K42" i="17"/>
  <c r="L48" i="21" s="1"/>
  <c r="K41" i="17"/>
  <c r="L47" i="21" s="1"/>
  <c r="K40" i="17"/>
  <c r="L46" i="21" s="1"/>
  <c r="K39" i="17"/>
  <c r="L45" i="21" s="1"/>
  <c r="K38" i="17"/>
  <c r="L44" i="21" s="1"/>
  <c r="K37" i="17"/>
  <c r="L43" i="21" s="1"/>
  <c r="K36" i="17"/>
  <c r="L42" i="21" s="1"/>
  <c r="K35" i="17"/>
  <c r="L41" i="21" s="1"/>
  <c r="K34" i="17"/>
  <c r="L40" i="21" s="1"/>
  <c r="K33" i="17"/>
  <c r="L39" i="21" s="1"/>
  <c r="K32" i="17"/>
  <c r="L38" i="21" s="1"/>
  <c r="K28" i="17"/>
  <c r="L34" i="21" s="1"/>
  <c r="K27" i="17"/>
  <c r="L33" i="21" s="1"/>
  <c r="K26" i="17"/>
  <c r="L32" i="21" s="1"/>
  <c r="K25" i="17"/>
  <c r="L28" i="21" s="1"/>
  <c r="K24" i="17"/>
  <c r="L27" i="21" s="1"/>
  <c r="K23" i="17"/>
  <c r="L26" i="21" s="1"/>
  <c r="K22" i="17"/>
  <c r="L25" i="21" s="1"/>
  <c r="K21" i="17"/>
  <c r="L24" i="21" s="1"/>
  <c r="K20" i="17"/>
  <c r="L23" i="21" s="1"/>
  <c r="K31" i="17"/>
  <c r="L37" i="21" s="1"/>
  <c r="K30" i="17"/>
  <c r="L36" i="21" s="1"/>
  <c r="K29" i="17"/>
  <c r="L35" i="21" s="1"/>
  <c r="K19" i="17"/>
  <c r="L22" i="21" s="1"/>
  <c r="K18" i="17"/>
  <c r="L21" i="21" s="1"/>
  <c r="K17" i="17"/>
  <c r="L20" i="21" s="1"/>
  <c r="K16" i="17"/>
  <c r="L19" i="21" s="1"/>
  <c r="K15" i="17"/>
  <c r="L18" i="21" s="1"/>
  <c r="K14" i="17"/>
  <c r="L17" i="21" s="1"/>
  <c r="K13" i="17"/>
  <c r="L16" i="21" s="1"/>
  <c r="K12" i="17"/>
  <c r="L15" i="21" s="1"/>
  <c r="K11" i="17"/>
  <c r="L14" i="21" s="1"/>
  <c r="K10" i="17"/>
  <c r="L13" i="21" s="1"/>
  <c r="K9" i="17"/>
  <c r="L12" i="21" s="1"/>
  <c r="K8" i="17"/>
  <c r="L11" i="21" s="1"/>
  <c r="K7" i="17"/>
  <c r="L10" i="21" s="1"/>
  <c r="K6" i="17"/>
  <c r="L9" i="21" s="1"/>
  <c r="P364" i="1"/>
  <c r="I322" i="17"/>
  <c r="J134" i="21" s="1"/>
  <c r="I318" i="17"/>
  <c r="J130" i="21" s="1"/>
  <c r="I319" i="17"/>
  <c r="J131" i="21" s="1"/>
  <c r="I320" i="17"/>
  <c r="J132" i="21" s="1"/>
  <c r="I321" i="17"/>
  <c r="J133" i="21" s="1"/>
  <c r="I305" i="17"/>
  <c r="J218" i="21" s="1"/>
  <c r="I306" i="17"/>
  <c r="J219" i="21" s="1"/>
  <c r="I307" i="17"/>
  <c r="J220" i="21" s="1"/>
  <c r="I308" i="17"/>
  <c r="J221" i="21" s="1"/>
  <c r="I309" i="17"/>
  <c r="J222" i="21" s="1"/>
  <c r="I310" i="17"/>
  <c r="J223" i="21" s="1"/>
  <c r="I311" i="17"/>
  <c r="J224" i="21" s="1"/>
  <c r="I312" i="17"/>
  <c r="J225" i="21" s="1"/>
  <c r="I313" i="17"/>
  <c r="J226" i="21" s="1"/>
  <c r="I314" i="17"/>
  <c r="J126" i="21" s="1"/>
  <c r="I315" i="17"/>
  <c r="J127" i="21" s="1"/>
  <c r="I316" i="17"/>
  <c r="J128" i="21" s="1"/>
  <c r="I317" i="17"/>
  <c r="J129" i="21" s="1"/>
  <c r="I7" i="17"/>
  <c r="J10" i="21" s="1"/>
  <c r="I8" i="17"/>
  <c r="J11" i="21" s="1"/>
  <c r="I9" i="17"/>
  <c r="J12" i="21" s="1"/>
  <c r="I10" i="17"/>
  <c r="J13" i="21" s="1"/>
  <c r="I11" i="17"/>
  <c r="J14" i="21" s="1"/>
  <c r="I12" i="17"/>
  <c r="J15" i="21" s="1"/>
  <c r="I13" i="17"/>
  <c r="J16" i="21" s="1"/>
  <c r="I14" i="17"/>
  <c r="J17" i="21" s="1"/>
  <c r="I15" i="17"/>
  <c r="J18" i="21" s="1"/>
  <c r="I16" i="17"/>
  <c r="J19" i="21" s="1"/>
  <c r="I17" i="17"/>
  <c r="J20" i="21" s="1"/>
  <c r="I18" i="17"/>
  <c r="J21" i="21" s="1"/>
  <c r="I19" i="17"/>
  <c r="J22" i="21" s="1"/>
  <c r="I20" i="17"/>
  <c r="J23" i="21" s="1"/>
  <c r="I21" i="17"/>
  <c r="J24" i="21" s="1"/>
  <c r="I22" i="17"/>
  <c r="J25" i="21" s="1"/>
  <c r="I23" i="17"/>
  <c r="J26" i="21" s="1"/>
  <c r="I24" i="17"/>
  <c r="J27" i="21" s="1"/>
  <c r="I25" i="17"/>
  <c r="J28" i="21" s="1"/>
  <c r="I26" i="17"/>
  <c r="J32" i="21" s="1"/>
  <c r="I27" i="17"/>
  <c r="J33" i="21" s="1"/>
  <c r="I28" i="17"/>
  <c r="J34" i="21" s="1"/>
  <c r="I29" i="17"/>
  <c r="J35" i="21" s="1"/>
  <c r="I30" i="17"/>
  <c r="J36" i="21" s="1"/>
  <c r="I31" i="17"/>
  <c r="J37" i="21" s="1"/>
  <c r="I32" i="17"/>
  <c r="J38" i="21" s="1"/>
  <c r="I33" i="17"/>
  <c r="J39" i="21" s="1"/>
  <c r="I34" i="17"/>
  <c r="J40" i="21" s="1"/>
  <c r="I35" i="17"/>
  <c r="J41" i="21" s="1"/>
  <c r="I36" i="17"/>
  <c r="J42" i="21" s="1"/>
  <c r="I37" i="17"/>
  <c r="J43" i="21" s="1"/>
  <c r="I38" i="17"/>
  <c r="J44" i="21" s="1"/>
  <c r="I39" i="17"/>
  <c r="J45" i="21" s="1"/>
  <c r="I40" i="17"/>
  <c r="J46" i="21" s="1"/>
  <c r="I41" i="17"/>
  <c r="J47" i="21" s="1"/>
  <c r="I42" i="17"/>
  <c r="J48" i="21" s="1"/>
  <c r="I43" i="17"/>
  <c r="J49" i="21" s="1"/>
  <c r="I44" i="17"/>
  <c r="J50" i="21" s="1"/>
  <c r="I45" i="17"/>
  <c r="J51" i="21" s="1"/>
  <c r="I46" i="17"/>
  <c r="J52" i="21" s="1"/>
  <c r="I47" i="17"/>
  <c r="J53" i="21" s="1"/>
  <c r="I48" i="17"/>
  <c r="J81" i="21" s="1"/>
  <c r="I49" i="17"/>
  <c r="J82" i="21" s="1"/>
  <c r="I50" i="17"/>
  <c r="J83" i="21" s="1"/>
  <c r="I51" i="17"/>
  <c r="J84" i="21" s="1"/>
  <c r="I52" i="17"/>
  <c r="J85" i="21" s="1"/>
  <c r="I53" i="17"/>
  <c r="J86" i="21" s="1"/>
  <c r="I54" i="17"/>
  <c r="J87" i="21" s="1"/>
  <c r="I55" i="17"/>
  <c r="J88" i="21" s="1"/>
  <c r="I56" i="17"/>
  <c r="J89" i="21" s="1"/>
  <c r="I57" i="17"/>
  <c r="J90" i="21" s="1"/>
  <c r="I58" i="17"/>
  <c r="J91" i="21" s="1"/>
  <c r="I59" i="17"/>
  <c r="J92" i="21" s="1"/>
  <c r="I60" i="17"/>
  <c r="J93" i="21" s="1"/>
  <c r="I61" i="17"/>
  <c r="J94" i="21" s="1"/>
  <c r="I62" i="17"/>
  <c r="J95" i="21" s="1"/>
  <c r="I63" i="17"/>
  <c r="J96" i="21" s="1"/>
  <c r="I64" i="17"/>
  <c r="J97" i="21" s="1"/>
  <c r="I65" i="17"/>
  <c r="J98" i="21" s="1"/>
  <c r="I66" i="17"/>
  <c r="J99" i="21" s="1"/>
  <c r="I67" i="17"/>
  <c r="J100" i="21" s="1"/>
  <c r="I68" i="17"/>
  <c r="J101" i="21" s="1"/>
  <c r="I69" i="17"/>
  <c r="J102" i="21" s="1"/>
  <c r="I70" i="17"/>
  <c r="J103" i="21" s="1"/>
  <c r="I71" i="17"/>
  <c r="J104" i="21" s="1"/>
  <c r="I72" i="17"/>
  <c r="J105" i="21" s="1"/>
  <c r="I73" i="17"/>
  <c r="J106" i="21" s="1"/>
  <c r="I74" i="17"/>
  <c r="J107" i="21" s="1"/>
  <c r="I75" i="17"/>
  <c r="J108" i="21" s="1"/>
  <c r="I76" i="17"/>
  <c r="J109" i="21" s="1"/>
  <c r="I77" i="17"/>
  <c r="J110" i="21" s="1"/>
  <c r="I78" i="17"/>
  <c r="J111" i="21" s="1"/>
  <c r="I79" i="17"/>
  <c r="J112" i="21" s="1"/>
  <c r="I80" i="17"/>
  <c r="J113" i="21" s="1"/>
  <c r="I81" i="17"/>
  <c r="J114" i="21" s="1"/>
  <c r="I82" i="17"/>
  <c r="J115" i="21" s="1"/>
  <c r="I83" i="17"/>
  <c r="J116" i="21" s="1"/>
  <c r="I84" i="17"/>
  <c r="J117" i="21" s="1"/>
  <c r="I85" i="17"/>
  <c r="J118" i="21" s="1"/>
  <c r="I86" i="17"/>
  <c r="J119" i="21" s="1"/>
  <c r="I87" i="17"/>
  <c r="J120" i="21" s="1"/>
  <c r="I88" i="17"/>
  <c r="J121" i="21" s="1"/>
  <c r="I89" i="17"/>
  <c r="J122" i="21" s="1"/>
  <c r="I90" i="17"/>
  <c r="J123" i="21" s="1"/>
  <c r="I91" i="17"/>
  <c r="J124" i="21" s="1"/>
  <c r="I92" i="17"/>
  <c r="J125" i="21" s="1"/>
  <c r="I93" i="17"/>
  <c r="J301" i="21" s="1"/>
  <c r="I94" i="17"/>
  <c r="J302" i="21" s="1"/>
  <c r="I95" i="17"/>
  <c r="J303" i="21" s="1"/>
  <c r="I96" i="17"/>
  <c r="J304" i="21" s="1"/>
  <c r="I97" i="17"/>
  <c r="J305" i="21" s="1"/>
  <c r="I98" i="17"/>
  <c r="J306" i="21" s="1"/>
  <c r="I99" i="17"/>
  <c r="J307" i="21" s="1"/>
  <c r="I100" i="17"/>
  <c r="J308" i="21" s="1"/>
  <c r="I101" i="17"/>
  <c r="J309" i="21" s="1"/>
  <c r="I102" i="17"/>
  <c r="J310" i="21" s="1"/>
  <c r="I103" i="17"/>
  <c r="J311" i="21" s="1"/>
  <c r="I104" i="17"/>
  <c r="J312" i="21" s="1"/>
  <c r="I105" i="17"/>
  <c r="J313" i="21" s="1"/>
  <c r="I106" i="17"/>
  <c r="J314" i="21" s="1"/>
  <c r="I107" i="17"/>
  <c r="J315" i="21" s="1"/>
  <c r="I108" i="17"/>
  <c r="J316" i="21" s="1"/>
  <c r="I109" i="17"/>
  <c r="J317" i="21" s="1"/>
  <c r="I110" i="17"/>
  <c r="J318" i="21" s="1"/>
  <c r="I111" i="17"/>
  <c r="J319" i="21" s="1"/>
  <c r="I112" i="17"/>
  <c r="J320" i="21" s="1"/>
  <c r="I113" i="17"/>
  <c r="J321" i="21" s="1"/>
  <c r="I114" i="17"/>
  <c r="J322" i="21" s="1"/>
  <c r="I115" i="17"/>
  <c r="J323" i="21" s="1"/>
  <c r="I116" i="17"/>
  <c r="J324" i="21" s="1"/>
  <c r="I117" i="17"/>
  <c r="J325" i="21" s="1"/>
  <c r="I118" i="17"/>
  <c r="J326" i="21" s="1"/>
  <c r="I119" i="17"/>
  <c r="J327" i="21" s="1"/>
  <c r="I120" i="17"/>
  <c r="J328" i="21" s="1"/>
  <c r="I121" i="17"/>
  <c r="J54" i="21" s="1"/>
  <c r="I122" i="17"/>
  <c r="J55" i="21" s="1"/>
  <c r="I123" i="17"/>
  <c r="J56" i="21" s="1"/>
  <c r="I124" i="17"/>
  <c r="J57" i="21" s="1"/>
  <c r="I125" i="17"/>
  <c r="J58" i="21" s="1"/>
  <c r="I126" i="17"/>
  <c r="J59" i="21" s="1"/>
  <c r="I127" i="17"/>
  <c r="J60" i="21" s="1"/>
  <c r="I128" i="17"/>
  <c r="J61" i="21" s="1"/>
  <c r="I129" i="17"/>
  <c r="J62" i="21" s="1"/>
  <c r="I130" i="17"/>
  <c r="J63" i="21" s="1"/>
  <c r="I131" i="17"/>
  <c r="J64" i="21" s="1"/>
  <c r="I132" i="17"/>
  <c r="J65" i="21" s="1"/>
  <c r="I133" i="17"/>
  <c r="J66" i="21" s="1"/>
  <c r="I134" i="17"/>
  <c r="J67" i="21" s="1"/>
  <c r="I135" i="17"/>
  <c r="J68" i="21" s="1"/>
  <c r="I136" i="17"/>
  <c r="J69" i="21" s="1"/>
  <c r="I137" i="17"/>
  <c r="J70" i="21" s="1"/>
  <c r="I138" i="17"/>
  <c r="J71" i="21" s="1"/>
  <c r="I139" i="17"/>
  <c r="J72" i="21" s="1"/>
  <c r="I140" i="17"/>
  <c r="J73" i="21" s="1"/>
  <c r="I141" i="17"/>
  <c r="J74" i="21" s="1"/>
  <c r="I142" i="17"/>
  <c r="J75" i="21" s="1"/>
  <c r="I143" i="17"/>
  <c r="J76" i="21" s="1"/>
  <c r="I144" i="17"/>
  <c r="J77" i="21" s="1"/>
  <c r="I145" i="17"/>
  <c r="J78" i="21" s="1"/>
  <c r="I146" i="17"/>
  <c r="J79" i="21" s="1"/>
  <c r="I147" i="17"/>
  <c r="J80" i="21" s="1"/>
  <c r="I148" i="17"/>
  <c r="J227" i="21" s="1"/>
  <c r="I149" i="17"/>
  <c r="J228" i="21" s="1"/>
  <c r="I150" i="17"/>
  <c r="J229" i="21" s="1"/>
  <c r="I151" i="17"/>
  <c r="J230" i="21" s="1"/>
  <c r="I152" i="17"/>
  <c r="J231" i="21" s="1"/>
  <c r="I153" i="17"/>
  <c r="J232" i="21" s="1"/>
  <c r="I154" i="17"/>
  <c r="J233" i="21" s="1"/>
  <c r="I155" i="17"/>
  <c r="J234" i="21" s="1"/>
  <c r="I156" i="17"/>
  <c r="J235" i="21" s="1"/>
  <c r="I157" i="17"/>
  <c r="J236" i="21" s="1"/>
  <c r="I158" i="17"/>
  <c r="J237" i="21" s="1"/>
  <c r="I159" i="17"/>
  <c r="J238" i="21" s="1"/>
  <c r="I160" i="17"/>
  <c r="J239" i="21" s="1"/>
  <c r="I161" i="17"/>
  <c r="J240" i="21" s="1"/>
  <c r="I162" i="17"/>
  <c r="J241" i="21" s="1"/>
  <c r="I163" i="17"/>
  <c r="J242" i="21" s="1"/>
  <c r="I164" i="17"/>
  <c r="J243" i="21" s="1"/>
  <c r="I165" i="17"/>
  <c r="J244" i="21" s="1"/>
  <c r="I166" i="17"/>
  <c r="J245" i="21" s="1"/>
  <c r="I167" i="17"/>
  <c r="J246" i="21" s="1"/>
  <c r="I168" i="17"/>
  <c r="J247" i="21" s="1"/>
  <c r="I169" i="17"/>
  <c r="J248" i="21" s="1"/>
  <c r="I170" i="17"/>
  <c r="J249" i="21" s="1"/>
  <c r="I171" i="17"/>
  <c r="J250" i="21" s="1"/>
  <c r="I172" i="17"/>
  <c r="J251" i="21" s="1"/>
  <c r="I173" i="17"/>
  <c r="J252" i="21" s="1"/>
  <c r="I174" i="17"/>
  <c r="J253" i="21" s="1"/>
  <c r="I175" i="17"/>
  <c r="J254" i="21" s="1"/>
  <c r="I176" i="17"/>
  <c r="J255" i="21" s="1"/>
  <c r="I177" i="17"/>
  <c r="J256" i="21" s="1"/>
  <c r="I178" i="17"/>
  <c r="J257" i="21" s="1"/>
  <c r="I179" i="17"/>
  <c r="J258" i="21" s="1"/>
  <c r="I180" i="17"/>
  <c r="J259" i="21" s="1"/>
  <c r="I181" i="17"/>
  <c r="J260" i="21" s="1"/>
  <c r="I182" i="17"/>
  <c r="J261" i="21" s="1"/>
  <c r="I183" i="17"/>
  <c r="J262" i="21" s="1"/>
  <c r="I184" i="17"/>
  <c r="J263" i="21" s="1"/>
  <c r="I185" i="17"/>
  <c r="J264" i="21" s="1"/>
  <c r="I186" i="17"/>
  <c r="J265" i="21" s="1"/>
  <c r="I187" i="17"/>
  <c r="J266" i="21" s="1"/>
  <c r="I188" i="17"/>
  <c r="J267" i="21" s="1"/>
  <c r="I189" i="17"/>
  <c r="J268" i="21" s="1"/>
  <c r="I190" i="17"/>
  <c r="J269" i="21" s="1"/>
  <c r="I191" i="17"/>
  <c r="J270" i="21" s="1"/>
  <c r="I192" i="17"/>
  <c r="J271" i="21" s="1"/>
  <c r="I193" i="17"/>
  <c r="J272" i="21" s="1"/>
  <c r="I194" i="17"/>
  <c r="J273" i="21" s="1"/>
  <c r="I195" i="17"/>
  <c r="J274" i="21" s="1"/>
  <c r="I196" i="17"/>
  <c r="J275" i="21" s="1"/>
  <c r="I197" i="17"/>
  <c r="J276" i="21" s="1"/>
  <c r="I198" i="17"/>
  <c r="J277" i="21" s="1"/>
  <c r="I199" i="17"/>
  <c r="J278" i="21" s="1"/>
  <c r="I200" i="17"/>
  <c r="J279" i="21" s="1"/>
  <c r="I201" i="17"/>
  <c r="J280" i="21" s="1"/>
  <c r="I202" i="17"/>
  <c r="J281" i="21" s="1"/>
  <c r="I203" i="17"/>
  <c r="J282" i="21" s="1"/>
  <c r="I204" i="17"/>
  <c r="J283" i="21" s="1"/>
  <c r="I205" i="17"/>
  <c r="J284" i="21" s="1"/>
  <c r="I206" i="17"/>
  <c r="J285" i="21" s="1"/>
  <c r="I207" i="17"/>
  <c r="J286" i="21" s="1"/>
  <c r="I208" i="17"/>
  <c r="J287" i="21" s="1"/>
  <c r="I209" i="17"/>
  <c r="J288" i="21" s="1"/>
  <c r="I210" i="17"/>
  <c r="J289" i="21" s="1"/>
  <c r="I211" i="17"/>
  <c r="J290" i="21" s="1"/>
  <c r="I212" i="17"/>
  <c r="J291" i="21" s="1"/>
  <c r="I213" i="17"/>
  <c r="J292" i="21" s="1"/>
  <c r="I214" i="17"/>
  <c r="J293" i="21" s="1"/>
  <c r="I215" i="17"/>
  <c r="J294" i="21" s="1"/>
  <c r="I216" i="17"/>
  <c r="J295" i="21" s="1"/>
  <c r="I217" i="17"/>
  <c r="J296" i="21" s="1"/>
  <c r="I218" i="17"/>
  <c r="J297" i="21" s="1"/>
  <c r="I219" i="17"/>
  <c r="J298" i="21" s="1"/>
  <c r="I220" i="17"/>
  <c r="J299" i="21" s="1"/>
  <c r="I221" i="17"/>
  <c r="J300" i="21" s="1"/>
  <c r="I222" i="17"/>
  <c r="J135" i="21" s="1"/>
  <c r="I223" i="17"/>
  <c r="J136" i="21" s="1"/>
  <c r="I224" i="17"/>
  <c r="J137" i="21" s="1"/>
  <c r="I225" i="17"/>
  <c r="J138" i="21" s="1"/>
  <c r="I226" i="17"/>
  <c r="J139" i="21" s="1"/>
  <c r="I227" i="17"/>
  <c r="J140" i="21" s="1"/>
  <c r="I228" i="17"/>
  <c r="J141" i="21" s="1"/>
  <c r="I229" i="17"/>
  <c r="J142" i="21" s="1"/>
  <c r="I230" i="17"/>
  <c r="J143" i="21" s="1"/>
  <c r="I231" i="17"/>
  <c r="J144" i="21" s="1"/>
  <c r="I232" i="17"/>
  <c r="J145" i="21" s="1"/>
  <c r="I233" i="17"/>
  <c r="J146" i="21" s="1"/>
  <c r="I234" i="17"/>
  <c r="J147" i="21" s="1"/>
  <c r="I235" i="17"/>
  <c r="J148" i="21" s="1"/>
  <c r="I236" i="17"/>
  <c r="J149" i="21" s="1"/>
  <c r="I237" i="17"/>
  <c r="J150" i="21" s="1"/>
  <c r="I238" i="17"/>
  <c r="J151" i="21" s="1"/>
  <c r="I239" i="17"/>
  <c r="J152" i="21" s="1"/>
  <c r="I240" i="17"/>
  <c r="J153" i="21" s="1"/>
  <c r="I241" i="17"/>
  <c r="J154" i="21" s="1"/>
  <c r="I242" i="17"/>
  <c r="J155" i="21" s="1"/>
  <c r="I243" i="17"/>
  <c r="J156" i="21" s="1"/>
  <c r="I244" i="17"/>
  <c r="J157" i="21" s="1"/>
  <c r="I245" i="17"/>
  <c r="J158" i="21" s="1"/>
  <c r="I246" i="17"/>
  <c r="J159" i="21" s="1"/>
  <c r="I247" i="17"/>
  <c r="J160" i="21" s="1"/>
  <c r="I248" i="17"/>
  <c r="J161" i="21" s="1"/>
  <c r="I249" i="17"/>
  <c r="J162" i="21" s="1"/>
  <c r="I250" i="17"/>
  <c r="J163" i="21" s="1"/>
  <c r="I251" i="17"/>
  <c r="J164" i="21" s="1"/>
  <c r="I252" i="17"/>
  <c r="J165" i="21" s="1"/>
  <c r="I253" i="17"/>
  <c r="J166" i="21" s="1"/>
  <c r="I254" i="17"/>
  <c r="J167" i="21" s="1"/>
  <c r="I255" i="17"/>
  <c r="J168" i="21" s="1"/>
  <c r="I256" i="17"/>
  <c r="J169" i="21" s="1"/>
  <c r="I257" i="17"/>
  <c r="J170" i="21" s="1"/>
  <c r="I258" i="17"/>
  <c r="J171" i="21" s="1"/>
  <c r="I259" i="17"/>
  <c r="J172" i="21" s="1"/>
  <c r="I260" i="17"/>
  <c r="J173" i="21" s="1"/>
  <c r="I261" i="17"/>
  <c r="J174" i="21" s="1"/>
  <c r="I262" i="17"/>
  <c r="J175" i="21" s="1"/>
  <c r="I263" i="17"/>
  <c r="J176" i="21" s="1"/>
  <c r="I264" i="17"/>
  <c r="J177" i="21" s="1"/>
  <c r="I265" i="17"/>
  <c r="J178" i="21" s="1"/>
  <c r="I266" i="17"/>
  <c r="J179" i="21" s="1"/>
  <c r="I267" i="17"/>
  <c r="J180" i="21" s="1"/>
  <c r="I268" i="17"/>
  <c r="J181" i="21" s="1"/>
  <c r="I269" i="17"/>
  <c r="J182" i="21" s="1"/>
  <c r="I270" i="17"/>
  <c r="J183" i="21" s="1"/>
  <c r="I271" i="17"/>
  <c r="J184" i="21" s="1"/>
  <c r="I272" i="17"/>
  <c r="J185" i="21" s="1"/>
  <c r="I273" i="17"/>
  <c r="J186" i="21" s="1"/>
  <c r="I274" i="17"/>
  <c r="J187" i="21" s="1"/>
  <c r="I275" i="17"/>
  <c r="J188" i="21" s="1"/>
  <c r="I276" i="17"/>
  <c r="J189" i="21" s="1"/>
  <c r="I277" i="17"/>
  <c r="J190" i="21" s="1"/>
  <c r="I278" i="17"/>
  <c r="J191" i="21" s="1"/>
  <c r="I279" i="17"/>
  <c r="J192" i="21" s="1"/>
  <c r="I280" i="17"/>
  <c r="J193" i="21" s="1"/>
  <c r="I281" i="17"/>
  <c r="J194" i="21" s="1"/>
  <c r="I282" i="17"/>
  <c r="J195" i="21" s="1"/>
  <c r="I283" i="17"/>
  <c r="J196" i="21" s="1"/>
  <c r="I284" i="17"/>
  <c r="J197" i="21" s="1"/>
  <c r="I285" i="17"/>
  <c r="J198" i="21" s="1"/>
  <c r="I286" i="17"/>
  <c r="J199" i="21" s="1"/>
  <c r="I287" i="17"/>
  <c r="J200" i="21" s="1"/>
  <c r="I288" i="17"/>
  <c r="J201" i="21" s="1"/>
  <c r="I289" i="17"/>
  <c r="J202" i="21" s="1"/>
  <c r="I290" i="17"/>
  <c r="J203" i="21" s="1"/>
  <c r="I291" i="17"/>
  <c r="J204" i="21" s="1"/>
  <c r="I292" i="17"/>
  <c r="J205" i="21" s="1"/>
  <c r="I293" i="17"/>
  <c r="J206" i="21" s="1"/>
  <c r="I294" i="17"/>
  <c r="J207" i="21" s="1"/>
  <c r="I295" i="17"/>
  <c r="J208" i="21" s="1"/>
  <c r="I296" i="17"/>
  <c r="J209" i="21" s="1"/>
  <c r="I297" i="17"/>
  <c r="J210" i="21" s="1"/>
  <c r="I298" i="17"/>
  <c r="J211" i="21" s="1"/>
  <c r="I299" i="17"/>
  <c r="J212" i="21" s="1"/>
  <c r="I300" i="17"/>
  <c r="J213" i="21" s="1"/>
  <c r="I301" i="17"/>
  <c r="J214" i="21" s="1"/>
  <c r="I302" i="17"/>
  <c r="J215" i="21" s="1"/>
  <c r="I303" i="17"/>
  <c r="J216" i="21" s="1"/>
  <c r="I304" i="17"/>
  <c r="J217" i="21" s="1"/>
  <c r="I6" i="17"/>
  <c r="J9" i="21" s="1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335" i="17" l="1"/>
  <c r="U8" i="17" s="1"/>
  <c r="U37" i="17"/>
  <c r="F350" i="17"/>
  <c r="D324" i="17"/>
  <c r="L336" i="17" s="1"/>
  <c r="U7" i="17" l="1"/>
  <c r="U9" i="17" s="1"/>
  <c r="F340" i="17"/>
  <c r="L340" i="17" s="1"/>
  <c r="X21" i="1"/>
  <c r="R47" i="17" s="1"/>
  <c r="X17" i="1"/>
  <c r="R43" i="17" s="1"/>
  <c r="C362" i="1"/>
  <c r="B20" i="2"/>
  <c r="F6" i="2"/>
  <c r="F7" i="2"/>
  <c r="F8" i="2"/>
  <c r="F9" i="2"/>
  <c r="F10" i="2"/>
  <c r="F11" i="2"/>
  <c r="F12" i="2"/>
  <c r="F13" i="2"/>
  <c r="F14" i="2"/>
  <c r="C361" i="1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19" i="14"/>
  <c r="M25" i="14"/>
  <c r="M24" i="14"/>
  <c r="M23" i="14"/>
  <c r="M22" i="14"/>
  <c r="M21" i="14"/>
  <c r="M20" i="14"/>
  <c r="M18" i="14"/>
  <c r="M17" i="14"/>
  <c r="M16" i="14"/>
  <c r="M15" i="14"/>
  <c r="M14" i="14"/>
  <c r="M13" i="14"/>
  <c r="M12" i="14"/>
  <c r="M11" i="14"/>
  <c r="M10" i="14"/>
  <c r="M9" i="14"/>
  <c r="M8" i="14"/>
  <c r="F29" i="11"/>
  <c r="G29" i="11"/>
  <c r="D29" i="11"/>
  <c r="G27" i="11"/>
  <c r="G28" i="11"/>
  <c r="F28" i="11"/>
  <c r="F27" i="11"/>
  <c r="E28" i="11"/>
  <c r="E27" i="11"/>
  <c r="E29" i="11" s="1"/>
  <c r="R8" i="13"/>
  <c r="S8" i="13" s="1"/>
  <c r="R10" i="13"/>
  <c r="R26" i="13"/>
  <c r="B12" i="13"/>
  <c r="C21" i="11"/>
  <c r="D41" i="13"/>
  <c r="B41" i="13"/>
  <c r="B31" i="13"/>
  <c r="B18" i="13" s="1"/>
  <c r="D31" i="13"/>
  <c r="D18" i="13" s="1"/>
  <c r="C29" i="13"/>
  <c r="C31" i="13" s="1"/>
  <c r="E40" i="13"/>
  <c r="C37" i="13"/>
  <c r="C38" i="13"/>
  <c r="C39" i="13"/>
  <c r="E36" i="13"/>
  <c r="C36" i="13"/>
  <c r="E28" i="13"/>
  <c r="E27" i="13"/>
  <c r="E30" i="13"/>
  <c r="C3" i="13"/>
  <c r="C19" i="13"/>
  <c r="G21" i="13"/>
  <c r="G24" i="13" s="1"/>
  <c r="I21" i="13"/>
  <c r="I24" i="13" s="1"/>
  <c r="F24" i="13"/>
  <c r="H24" i="13"/>
  <c r="C20" i="13"/>
  <c r="C4" i="13"/>
  <c r="C5" i="13"/>
  <c r="C6" i="13"/>
  <c r="C7" i="13"/>
  <c r="C8" i="13"/>
  <c r="C9" i="13"/>
  <c r="C365" i="1"/>
  <c r="C4" i="10"/>
  <c r="D4" i="10"/>
  <c r="E4" i="10"/>
  <c r="F4" i="10"/>
  <c r="C17" i="10"/>
  <c r="E17" i="10"/>
  <c r="F17" i="10"/>
  <c r="L21" i="10"/>
  <c r="M441" i="1"/>
  <c r="N441" i="1" s="1"/>
  <c r="L437" i="1"/>
  <c r="L438" i="1"/>
  <c r="L436" i="1"/>
  <c r="K437" i="1"/>
  <c r="K438" i="1"/>
  <c r="K439" i="1"/>
  <c r="K436" i="1"/>
  <c r="J437" i="1"/>
  <c r="J438" i="1"/>
  <c r="J439" i="1"/>
  <c r="J440" i="1"/>
  <c r="N440" i="1" s="1"/>
  <c r="J436" i="1"/>
  <c r="I435" i="1"/>
  <c r="I442" i="1" s="1"/>
  <c r="H435" i="1"/>
  <c r="H442" i="1" s="1"/>
  <c r="AD21" i="1" s="1"/>
  <c r="X47" i="17" s="1"/>
  <c r="G435" i="1"/>
  <c r="G442" i="1" s="1"/>
  <c r="AD20" i="1" s="1"/>
  <c r="X46" i="17" s="1"/>
  <c r="F435" i="1"/>
  <c r="F434" i="1"/>
  <c r="N434" i="1" s="1"/>
  <c r="E435" i="1"/>
  <c r="E442" i="1" s="1"/>
  <c r="AD18" i="1" s="1"/>
  <c r="X44" i="17" s="1"/>
  <c r="D435" i="1"/>
  <c r="D442" i="1" s="1"/>
  <c r="AD17" i="1" s="1"/>
  <c r="X43" i="17" s="1"/>
  <c r="C435" i="1"/>
  <c r="C442" i="1" s="1"/>
  <c r="AD16" i="1" s="1"/>
  <c r="X42" i="17" s="1"/>
  <c r="B435" i="1"/>
  <c r="B442" i="1" s="1"/>
  <c r="AD15" i="1" s="1"/>
  <c r="X41" i="17" s="1"/>
  <c r="X23" i="1"/>
  <c r="R49" i="17" s="1"/>
  <c r="X22" i="1"/>
  <c r="R48" i="17" s="1"/>
  <c r="D13" i="1"/>
  <c r="F17" i="11"/>
  <c r="G17" i="11" s="1"/>
  <c r="D17" i="11"/>
  <c r="E17" i="11" s="1"/>
  <c r="E16" i="11"/>
  <c r="G14" i="11"/>
  <c r="AE87" i="1"/>
  <c r="AE86" i="1"/>
  <c r="AE85" i="1"/>
  <c r="AE84" i="1"/>
  <c r="AE81" i="1"/>
  <c r="X7" i="1"/>
  <c r="X10" i="1" a="1"/>
  <c r="X10" i="1" s="1"/>
  <c r="X9" i="1" a="1"/>
  <c r="X9" i="1" s="1"/>
  <c r="X8" i="1" a="1"/>
  <c r="X8" i="1" s="1"/>
  <c r="G4" i="10" l="1"/>
  <c r="L31" i="10"/>
  <c r="R26" i="17"/>
  <c r="L32" i="10"/>
  <c r="R27" i="17"/>
  <c r="L33" i="10"/>
  <c r="R28" i="17"/>
  <c r="L30" i="10"/>
  <c r="R25" i="17"/>
  <c r="M442" i="1"/>
  <c r="AD25" i="1" s="1"/>
  <c r="X51" i="17" s="1"/>
  <c r="F17" i="2"/>
  <c r="D6" i="10"/>
  <c r="F6" i="10"/>
  <c r="E6" i="10"/>
  <c r="E19" i="10"/>
  <c r="G3" i="10"/>
  <c r="M26" i="14"/>
  <c r="D11" i="13"/>
  <c r="E31" i="13"/>
  <c r="C41" i="13"/>
  <c r="E41" i="13"/>
  <c r="E18" i="13"/>
  <c r="E21" i="13" s="1"/>
  <c r="D21" i="13"/>
  <c r="C18" i="13"/>
  <c r="C21" i="13" s="1"/>
  <c r="B21" i="13"/>
  <c r="R15" i="13" s="1"/>
  <c r="R16" i="13" s="1"/>
  <c r="Q10" i="13" s="1"/>
  <c r="Q12" i="13" s="1"/>
  <c r="C12" i="13"/>
  <c r="D20" i="10"/>
  <c r="G16" i="10"/>
  <c r="P20" i="10"/>
  <c r="P7" i="10"/>
  <c r="D7" i="10"/>
  <c r="C7" i="10"/>
  <c r="M21" i="10"/>
  <c r="P6" i="10"/>
  <c r="C19" i="10"/>
  <c r="N21" i="10"/>
  <c r="P18" i="10"/>
  <c r="K21" i="10"/>
  <c r="P5" i="10"/>
  <c r="O21" i="10"/>
  <c r="O8" i="10"/>
  <c r="P19" i="10"/>
  <c r="P4" i="10"/>
  <c r="P17" i="10"/>
  <c r="E20" i="10"/>
  <c r="G18" i="10"/>
  <c r="F7" i="10"/>
  <c r="C6" i="10"/>
  <c r="D17" i="10"/>
  <c r="D19" i="10" s="1"/>
  <c r="E7" i="10"/>
  <c r="C20" i="10"/>
  <c r="G5" i="10"/>
  <c r="N439" i="1"/>
  <c r="N436" i="1"/>
  <c r="K442" i="1"/>
  <c r="AD23" i="1" s="1"/>
  <c r="X49" i="17" s="1"/>
  <c r="L442" i="1"/>
  <c r="AD24" i="1" s="1"/>
  <c r="X50" i="17" s="1"/>
  <c r="N438" i="1"/>
  <c r="N437" i="1"/>
  <c r="J442" i="1"/>
  <c r="AD22" i="1" s="1"/>
  <c r="X48" i="17" s="1"/>
  <c r="N435" i="1"/>
  <c r="F442" i="1"/>
  <c r="AD19" i="1" s="1"/>
  <c r="X45" i="17" s="1"/>
  <c r="F364" i="1"/>
  <c r="L34" i="10" l="1"/>
  <c r="X52" i="17"/>
  <c r="AD26" i="1"/>
  <c r="R29" i="17"/>
  <c r="H3" i="10"/>
  <c r="D10" i="13"/>
  <c r="R27" i="13" s="1"/>
  <c r="E11" i="13"/>
  <c r="D12" i="13"/>
  <c r="P8" i="10"/>
  <c r="G17" i="10"/>
  <c r="H16" i="10" s="1"/>
  <c r="P21" i="10"/>
  <c r="N442" i="1"/>
  <c r="X11" i="1"/>
  <c r="R28" i="13" l="1"/>
  <c r="E10" i="13"/>
  <c r="E12" i="13" s="1"/>
  <c r="X19" i="1"/>
  <c r="R45" i="17" s="1"/>
  <c r="S10" i="13" l="1"/>
  <c r="S12" i="13" s="1"/>
  <c r="R12" i="13"/>
  <c r="G13" i="11"/>
  <c r="F11" i="11"/>
  <c r="F18" i="11" s="1"/>
  <c r="G7" i="11"/>
  <c r="G8" i="11"/>
  <c r="G9" i="11"/>
  <c r="G10" i="11"/>
  <c r="G6" i="11"/>
  <c r="E15" i="11"/>
  <c r="E14" i="11"/>
  <c r="E13" i="11"/>
  <c r="E12" i="11"/>
  <c r="D10" i="1"/>
  <c r="D10" i="11"/>
  <c r="E10" i="11" s="1"/>
  <c r="D9" i="11"/>
  <c r="E9" i="11" s="1"/>
  <c r="D8" i="11"/>
  <c r="E8" i="11" s="1"/>
  <c r="D7" i="11"/>
  <c r="E7" i="11" s="1"/>
  <c r="D6" i="11"/>
  <c r="Q364" i="1"/>
  <c r="X33" i="1"/>
  <c r="X32" i="1"/>
  <c r="X30" i="1"/>
  <c r="X31" i="1"/>
  <c r="D11" i="11" l="1"/>
  <c r="X34" i="1"/>
  <c r="G11" i="11"/>
  <c r="G18" i="11" s="1"/>
  <c r="E6" i="11"/>
  <c r="N364" i="1"/>
  <c r="X16" i="1"/>
  <c r="R42" i="17" s="1"/>
  <c r="J406" i="1"/>
  <c r="J6" i="2"/>
  <c r="D429" i="1"/>
  <c r="E429" i="1"/>
  <c r="F429" i="1"/>
  <c r="G429" i="1"/>
  <c r="H429" i="1"/>
  <c r="I429" i="1"/>
  <c r="J429" i="1"/>
  <c r="K429" i="1"/>
  <c r="L429" i="1"/>
  <c r="M429" i="1"/>
  <c r="C429" i="1"/>
  <c r="B429" i="1"/>
  <c r="N423" i="1"/>
  <c r="N424" i="1"/>
  <c r="N425" i="1"/>
  <c r="N426" i="1"/>
  <c r="N427" i="1"/>
  <c r="N428" i="1"/>
  <c r="N422" i="1"/>
  <c r="N421" i="1"/>
  <c r="H10" i="2"/>
  <c r="I10" i="2"/>
  <c r="N12" i="2"/>
  <c r="M12" i="2"/>
  <c r="L12" i="2"/>
  <c r="K12" i="2"/>
  <c r="J12" i="2"/>
  <c r="I409" i="1" s="1"/>
  <c r="I12" i="2"/>
  <c r="H12" i="2"/>
  <c r="G12" i="2"/>
  <c r="E12" i="2"/>
  <c r="C12" i="2"/>
  <c r="B12" i="2"/>
  <c r="N7" i="2"/>
  <c r="M7" i="2"/>
  <c r="L7" i="2"/>
  <c r="K7" i="2"/>
  <c r="J7" i="2"/>
  <c r="I7" i="2"/>
  <c r="H7" i="2"/>
  <c r="G7" i="2"/>
  <c r="E7" i="2"/>
  <c r="C7" i="2"/>
  <c r="B7" i="2"/>
  <c r="N9" i="2"/>
  <c r="M9" i="2"/>
  <c r="L9" i="2"/>
  <c r="K9" i="2"/>
  <c r="J9" i="2"/>
  <c r="I9" i="2"/>
  <c r="H9" i="2"/>
  <c r="G9" i="2"/>
  <c r="E9" i="2"/>
  <c r="C9" i="2"/>
  <c r="B9" i="2"/>
  <c r="N8" i="2"/>
  <c r="M8" i="2"/>
  <c r="L8" i="2"/>
  <c r="K8" i="2"/>
  <c r="J8" i="2"/>
  <c r="I404" i="1" s="1"/>
  <c r="I8" i="2"/>
  <c r="H8" i="2"/>
  <c r="G8" i="2"/>
  <c r="E8" i="2"/>
  <c r="C8" i="2"/>
  <c r="B8" i="2"/>
  <c r="G6" i="2"/>
  <c r="N6" i="2"/>
  <c r="M6" i="2"/>
  <c r="L6" i="2"/>
  <c r="K6" i="2"/>
  <c r="I6" i="2"/>
  <c r="H6" i="2"/>
  <c r="E6" i="2"/>
  <c r="C6" i="2"/>
  <c r="B6" i="2"/>
  <c r="B14" i="2"/>
  <c r="G364" i="1"/>
  <c r="C366" i="1"/>
  <c r="D283" i="1"/>
  <c r="E391" i="1"/>
  <c r="E390" i="1"/>
  <c r="E411" i="1"/>
  <c r="E395" i="1"/>
  <c r="E393" i="1"/>
  <c r="E394" i="1"/>
  <c r="E392" i="1"/>
  <c r="D396" i="1"/>
  <c r="E389" i="1"/>
  <c r="E388" i="1"/>
  <c r="B16" i="2"/>
  <c r="C15" i="2"/>
  <c r="D15" i="2" s="1"/>
  <c r="B15" i="2"/>
  <c r="E364" i="1"/>
  <c r="D243" i="1"/>
  <c r="J409" i="1"/>
  <c r="I406" i="1"/>
  <c r="B11" i="2"/>
  <c r="D411" i="1"/>
  <c r="D413" i="1" s="1"/>
  <c r="F411" i="1"/>
  <c r="N14" i="2"/>
  <c r="M14" i="2"/>
  <c r="L14" i="2"/>
  <c r="K14" i="2"/>
  <c r="J14" i="2"/>
  <c r="I405" i="1" s="1"/>
  <c r="I14" i="2"/>
  <c r="H14" i="2"/>
  <c r="G14" i="2"/>
  <c r="E14" i="2"/>
  <c r="C14" i="2"/>
  <c r="N13" i="2"/>
  <c r="M13" i="2"/>
  <c r="L13" i="2"/>
  <c r="K13" i="2"/>
  <c r="J13" i="2"/>
  <c r="I410" i="1" s="1"/>
  <c r="I13" i="2"/>
  <c r="H13" i="2"/>
  <c r="G13" i="2"/>
  <c r="E13" i="2"/>
  <c r="C13" i="2"/>
  <c r="N11" i="2"/>
  <c r="M11" i="2"/>
  <c r="L11" i="2"/>
  <c r="K11" i="2"/>
  <c r="J11" i="2"/>
  <c r="I11" i="2"/>
  <c r="H11" i="2"/>
  <c r="G11" i="2"/>
  <c r="E11" i="2"/>
  <c r="C11" i="2"/>
  <c r="N10" i="2"/>
  <c r="M10" i="2"/>
  <c r="L10" i="2"/>
  <c r="K10" i="2"/>
  <c r="J10" i="2"/>
  <c r="I408" i="1" s="1"/>
  <c r="G10" i="2"/>
  <c r="E10" i="2"/>
  <c r="C10" i="2"/>
  <c r="B10" i="2"/>
  <c r="B13" i="2"/>
  <c r="D18" i="11" l="1"/>
  <c r="C16" i="2"/>
  <c r="D16" i="2" s="1"/>
  <c r="B19" i="2" s="1"/>
  <c r="E11" i="11"/>
  <c r="E18" i="11" s="1"/>
  <c r="I403" i="1"/>
  <c r="N429" i="1"/>
  <c r="U427" i="1" s="1"/>
  <c r="E396" i="1"/>
  <c r="F413" i="1"/>
  <c r="K406" i="1"/>
  <c r="M406" i="1" s="1"/>
  <c r="I407" i="1"/>
  <c r="J410" i="1"/>
  <c r="K410" i="1" s="1"/>
  <c r="J407" i="1" a="1"/>
  <c r="J407" i="1" s="1"/>
  <c r="J408" i="1"/>
  <c r="K408" i="1" s="1"/>
  <c r="J405" i="1"/>
  <c r="K405" i="1" s="1"/>
  <c r="J404" i="1"/>
  <c r="K404" i="1" s="1"/>
  <c r="M404" i="1" s="1"/>
  <c r="K409" i="1"/>
  <c r="M409" i="1" s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 s="1"/>
  <c r="L378" i="1"/>
  <c r="M378" i="1" s="1"/>
  <c r="L371" i="1"/>
  <c r="M371" i="1" s="1"/>
  <c r="Q379" i="1"/>
  <c r="O379" i="1"/>
  <c r="K379" i="1"/>
  <c r="I379" i="1"/>
  <c r="F379" i="1"/>
  <c r="E379" i="1"/>
  <c r="D379" i="1"/>
  <c r="V427" i="1" l="1"/>
  <c r="I411" i="1"/>
  <c r="L406" i="1"/>
  <c r="P380" i="1"/>
  <c r="P381" i="1" s="1"/>
  <c r="K407" i="1"/>
  <c r="L407" i="1" s="1"/>
  <c r="L408" i="1"/>
  <c r="M408" i="1"/>
  <c r="L405" i="1"/>
  <c r="M405" i="1"/>
  <c r="L410" i="1"/>
  <c r="M410" i="1"/>
  <c r="L409" i="1"/>
  <c r="L404" i="1"/>
  <c r="M379" i="1"/>
  <c r="B21" i="2" s="1"/>
  <c r="L379" i="1"/>
  <c r="W10" i="1" a="1"/>
  <c r="W10" i="1" s="1"/>
  <c r="Q28" i="17" s="1"/>
  <c r="Y10" i="1" a="1"/>
  <c r="Y10" i="1" s="1"/>
  <c r="Z10" i="1" a="1"/>
  <c r="Z10" i="1" s="1"/>
  <c r="AA10" i="1" a="1"/>
  <c r="AA10" i="1" s="1"/>
  <c r="AA9" i="1" a="1"/>
  <c r="AA9" i="1" s="1"/>
  <c r="Z9" i="1" a="1"/>
  <c r="Z9" i="1" s="1"/>
  <c r="Y9" i="1" a="1"/>
  <c r="Y9" i="1" s="1"/>
  <c r="W9" i="1" a="1"/>
  <c r="W9" i="1" s="1"/>
  <c r="Q27" i="17" s="1"/>
  <c r="AA8" i="1" a="1"/>
  <c r="AA8" i="1" s="1"/>
  <c r="Z8" i="1" a="1"/>
  <c r="Z8" i="1" s="1"/>
  <c r="Y8" i="1" a="1"/>
  <c r="Y8" i="1" s="1"/>
  <c r="W8" i="1" a="1"/>
  <c r="W8" i="1" s="1"/>
  <c r="Q26" i="17" s="1"/>
  <c r="AA7" i="1" a="1"/>
  <c r="AA7" i="1" s="1"/>
  <c r="Z7" i="1" a="1"/>
  <c r="Z7" i="1" s="1"/>
  <c r="Y7" i="1" a="1"/>
  <c r="Y7" i="1" s="1"/>
  <c r="W7" i="1" a="1"/>
  <c r="W7" i="1" s="1"/>
  <c r="D353" i="1"/>
  <c r="D352" i="1"/>
  <c r="D351" i="1"/>
  <c r="D350" i="1"/>
  <c r="D349" i="1"/>
  <c r="D348" i="1"/>
  <c r="D346" i="1"/>
  <c r="D344" i="1"/>
  <c r="D342" i="1"/>
  <c r="D341" i="1"/>
  <c r="D340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2" i="1"/>
  <c r="D334" i="1"/>
  <c r="D336" i="1"/>
  <c r="D337" i="1"/>
  <c r="D338" i="1"/>
  <c r="D339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5" i="1"/>
  <c r="D206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58" i="1"/>
  <c r="D156" i="1"/>
  <c r="D155" i="1"/>
  <c r="D154" i="1"/>
  <c r="D172" i="1"/>
  <c r="D171" i="1"/>
  <c r="D170" i="1"/>
  <c r="D169" i="1"/>
  <c r="D168" i="1"/>
  <c r="D167" i="1"/>
  <c r="D166" i="1"/>
  <c r="D164" i="1"/>
  <c r="D163" i="1"/>
  <c r="D162" i="1"/>
  <c r="D160" i="1"/>
  <c r="D153" i="1"/>
  <c r="D152" i="1"/>
  <c r="D151" i="1"/>
  <c r="D150" i="1"/>
  <c r="D149" i="1"/>
  <c r="D148" i="1"/>
  <c r="D147" i="1"/>
  <c r="D145" i="1"/>
  <c r="D144" i="1"/>
  <c r="D143" i="1"/>
  <c r="D141" i="1"/>
  <c r="D140" i="1"/>
  <c r="D139" i="1"/>
  <c r="D138" i="1"/>
  <c r="D136" i="1"/>
  <c r="D135" i="1"/>
  <c r="D134" i="1"/>
  <c r="D133" i="1"/>
  <c r="D132" i="1"/>
  <c r="D131" i="1"/>
  <c r="D130" i="1"/>
  <c r="D129" i="1"/>
  <c r="D127" i="1"/>
  <c r="D126" i="1"/>
  <c r="D125" i="1"/>
  <c r="D123" i="1"/>
  <c r="D122" i="1"/>
  <c r="D121" i="1"/>
  <c r="D119" i="1"/>
  <c r="D117" i="1"/>
  <c r="D114" i="1"/>
  <c r="D112" i="1"/>
  <c r="D111" i="1"/>
  <c r="D109" i="1"/>
  <c r="D108" i="1"/>
  <c r="D107" i="1"/>
  <c r="D106" i="1"/>
  <c r="D105" i="1"/>
  <c r="D104" i="1"/>
  <c r="D102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1" i="1"/>
  <c r="D79" i="1"/>
  <c r="D77" i="1"/>
  <c r="D76" i="1"/>
  <c r="D75" i="1"/>
  <c r="D74" i="1"/>
  <c r="D73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4" i="1"/>
  <c r="D55" i="1"/>
  <c r="D53" i="1"/>
  <c r="D52" i="1"/>
  <c r="D51" i="1"/>
  <c r="D50" i="1"/>
  <c r="D49" i="1"/>
  <c r="D48" i="1"/>
  <c r="D47" i="1"/>
  <c r="D46" i="1"/>
  <c r="D44" i="1"/>
  <c r="D43" i="1"/>
  <c r="D42" i="1"/>
  <c r="D41" i="1"/>
  <c r="D40" i="1"/>
  <c r="D39" i="1"/>
  <c r="D38" i="1"/>
  <c r="D37" i="1"/>
  <c r="D36" i="1"/>
  <c r="D35" i="1"/>
  <c r="D34" i="1"/>
  <c r="D33" i="1"/>
  <c r="N33" i="10" l="1"/>
  <c r="T28" i="17"/>
  <c r="M33" i="10"/>
  <c r="S28" i="17"/>
  <c r="M30" i="10"/>
  <c r="S25" i="17"/>
  <c r="M31" i="10"/>
  <c r="S26" i="17"/>
  <c r="N30" i="10"/>
  <c r="T25" i="17"/>
  <c r="O31" i="10"/>
  <c r="U26" i="17"/>
  <c r="K30" i="10"/>
  <c r="Q25" i="17"/>
  <c r="O30" i="10"/>
  <c r="U25" i="17"/>
  <c r="M32" i="10"/>
  <c r="M34" i="10" s="1"/>
  <c r="S27" i="17"/>
  <c r="N31" i="10"/>
  <c r="T26" i="17"/>
  <c r="N32" i="10"/>
  <c r="T27" i="17"/>
  <c r="O33" i="10"/>
  <c r="U28" i="17"/>
  <c r="O32" i="10"/>
  <c r="U27" i="17"/>
  <c r="Q410" i="1"/>
  <c r="S410" i="1" s="1"/>
  <c r="K33" i="10"/>
  <c r="Q408" i="1"/>
  <c r="S408" i="1" s="1"/>
  <c r="K31" i="10"/>
  <c r="Q409" i="1"/>
  <c r="S409" i="1" s="1"/>
  <c r="K32" i="10"/>
  <c r="Q404" i="1"/>
  <c r="S404" i="1" s="1"/>
  <c r="Q405" i="1"/>
  <c r="S405" i="1" s="1"/>
  <c r="Q407" i="1"/>
  <c r="S407" i="1" s="1"/>
  <c r="AB7" i="1"/>
  <c r="Q403" i="1"/>
  <c r="M407" i="1"/>
  <c r="D32" i="1"/>
  <c r="D30" i="1"/>
  <c r="D29" i="1"/>
  <c r="D28" i="1"/>
  <c r="D27" i="1"/>
  <c r="D26" i="1"/>
  <c r="D25" i="1"/>
  <c r="V27" i="17" l="1"/>
  <c r="O34" i="10"/>
  <c r="P33" i="10"/>
  <c r="V28" i="17"/>
  <c r="U29" i="17"/>
  <c r="N34" i="10"/>
  <c r="P31" i="10"/>
  <c r="V26" i="17"/>
  <c r="P32" i="10"/>
  <c r="T29" i="17"/>
  <c r="P30" i="10"/>
  <c r="Q29" i="17"/>
  <c r="V25" i="17"/>
  <c r="S29" i="17"/>
  <c r="K34" i="10"/>
  <c r="Q406" i="1" a="1"/>
  <c r="Q406" i="1" s="1"/>
  <c r="S406" i="1" s="1"/>
  <c r="S403" i="1"/>
  <c r="P34" i="10" l="1"/>
  <c r="V29" i="17"/>
  <c r="S411" i="1"/>
  <c r="S412" i="1"/>
  <c r="F29" i="10"/>
  <c r="E29" i="10"/>
  <c r="C31" i="10"/>
  <c r="C30" i="10" s="1"/>
  <c r="C29" i="10"/>
  <c r="D31" i="10"/>
  <c r="E31" i="10"/>
  <c r="F31" i="10"/>
  <c r="E33" i="10" l="1"/>
  <c r="G29" i="10"/>
  <c r="C32" i="10"/>
  <c r="C33" i="10"/>
  <c r="D33" i="10"/>
  <c r="D30" i="10"/>
  <c r="D32" i="10" s="1"/>
  <c r="E30" i="10"/>
  <c r="E32" i="10" s="1"/>
  <c r="F33" i="10"/>
  <c r="F30" i="10"/>
  <c r="F32" i="10" s="1"/>
  <c r="G31" i="10"/>
  <c r="G30" i="10" l="1"/>
  <c r="H29" i="10" s="1"/>
  <c r="X24" i="1" l="1"/>
  <c r="R50" i="17" s="1"/>
  <c r="X18" i="1"/>
  <c r="R44" i="17" s="1"/>
  <c r="X20" i="1"/>
  <c r="R46" i="17" s="1"/>
  <c r="S10" i="3"/>
  <c r="R10" i="3"/>
  <c r="Q10" i="3"/>
  <c r="T9" i="3"/>
  <c r="T8" i="3"/>
  <c r="T7" i="3"/>
  <c r="S10" i="4"/>
  <c r="R10" i="4"/>
  <c r="Q10" i="4"/>
  <c r="T9" i="4"/>
  <c r="T8" i="4"/>
  <c r="T7" i="4"/>
  <c r="S10" i="5"/>
  <c r="R10" i="5"/>
  <c r="Q10" i="5"/>
  <c r="T9" i="5"/>
  <c r="T8" i="5"/>
  <c r="T7" i="5"/>
  <c r="R70" i="6"/>
  <c r="S70" i="6"/>
  <c r="R71" i="6"/>
  <c r="S71" i="6"/>
  <c r="Q70" i="6"/>
  <c r="Q71" i="6"/>
  <c r="R69" i="6"/>
  <c r="S69" i="6"/>
  <c r="Q69" i="6"/>
  <c r="S10" i="6"/>
  <c r="R10" i="6"/>
  <c r="Q10" i="6"/>
  <c r="T9" i="6"/>
  <c r="T8" i="6"/>
  <c r="T7" i="6"/>
  <c r="S45" i="6"/>
  <c r="R45" i="6"/>
  <c r="Q45" i="6"/>
  <c r="T44" i="6"/>
  <c r="T43" i="6"/>
  <c r="T42" i="6"/>
  <c r="C85" i="7"/>
  <c r="D85" i="7" s="1"/>
  <c r="Q93" i="7"/>
  <c r="R93" i="7"/>
  <c r="S93" i="7"/>
  <c r="Q94" i="7"/>
  <c r="R94" i="7"/>
  <c r="S94" i="7"/>
  <c r="R92" i="7"/>
  <c r="S92" i="7"/>
  <c r="Q92" i="7"/>
  <c r="S10" i="7"/>
  <c r="R10" i="7"/>
  <c r="Q10" i="7"/>
  <c r="T9" i="7"/>
  <c r="T8" i="7"/>
  <c r="T7" i="7"/>
  <c r="S20" i="7"/>
  <c r="R20" i="7"/>
  <c r="Q20" i="7"/>
  <c r="T19" i="7"/>
  <c r="T18" i="7"/>
  <c r="T17" i="7"/>
  <c r="S57" i="7"/>
  <c r="R57" i="7"/>
  <c r="Q57" i="7"/>
  <c r="T56" i="7"/>
  <c r="T55" i="7"/>
  <c r="T54" i="7"/>
  <c r="T65" i="7"/>
  <c r="T66" i="7"/>
  <c r="T64" i="7"/>
  <c r="R67" i="7"/>
  <c r="S67" i="7"/>
  <c r="Q67" i="7"/>
  <c r="M87" i="7"/>
  <c r="N87" i="7"/>
  <c r="I87" i="7"/>
  <c r="E87" i="7"/>
  <c r="N61" i="7"/>
  <c r="F61" i="7"/>
  <c r="H61" i="7"/>
  <c r="I61" i="7"/>
  <c r="J61" i="7"/>
  <c r="L61" i="7"/>
  <c r="M61" i="7"/>
  <c r="E61" i="7"/>
  <c r="N86" i="7"/>
  <c r="I86" i="7"/>
  <c r="M86" i="7"/>
  <c r="E86" i="7"/>
  <c r="C63" i="7"/>
  <c r="F63" i="7"/>
  <c r="F86" i="7" s="1"/>
  <c r="L63" i="7"/>
  <c r="L86" i="7" s="1"/>
  <c r="C64" i="7"/>
  <c r="G64" i="7"/>
  <c r="K64" i="7"/>
  <c r="C65" i="7"/>
  <c r="G65" i="7"/>
  <c r="K65" i="7"/>
  <c r="C66" i="7"/>
  <c r="G66" i="7"/>
  <c r="K66" i="7"/>
  <c r="C67" i="7"/>
  <c r="H67" i="7"/>
  <c r="J67" i="7"/>
  <c r="C68" i="7"/>
  <c r="H68" i="7"/>
  <c r="J68" i="7"/>
  <c r="C69" i="7"/>
  <c r="H69" i="7"/>
  <c r="J69" i="7"/>
  <c r="C70" i="7"/>
  <c r="H70" i="7"/>
  <c r="J70" i="7"/>
  <c r="C71" i="7"/>
  <c r="H71" i="7"/>
  <c r="J71" i="7"/>
  <c r="C72" i="7"/>
  <c r="H72" i="7"/>
  <c r="J72" i="7"/>
  <c r="C73" i="7"/>
  <c r="H73" i="7"/>
  <c r="J73" i="7"/>
  <c r="C74" i="7"/>
  <c r="H74" i="7"/>
  <c r="J74" i="7"/>
  <c r="C75" i="7"/>
  <c r="H75" i="7"/>
  <c r="J75" i="7"/>
  <c r="C76" i="7"/>
  <c r="G76" i="7"/>
  <c r="K76" i="7"/>
  <c r="C77" i="7"/>
  <c r="G77" i="7"/>
  <c r="K77" i="7"/>
  <c r="C78" i="7"/>
  <c r="G78" i="7"/>
  <c r="K78" i="7"/>
  <c r="C79" i="7"/>
  <c r="G79" i="7"/>
  <c r="K79" i="7"/>
  <c r="C80" i="7"/>
  <c r="G80" i="7"/>
  <c r="K80" i="7"/>
  <c r="C81" i="7"/>
  <c r="G81" i="7"/>
  <c r="K81" i="7"/>
  <c r="C82" i="7"/>
  <c r="G82" i="7"/>
  <c r="K82" i="7"/>
  <c r="C83" i="7"/>
  <c r="G83" i="7"/>
  <c r="K83" i="7"/>
  <c r="C84" i="7"/>
  <c r="H84" i="7"/>
  <c r="J84" i="7"/>
  <c r="H85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63" i="7"/>
  <c r="C53" i="7"/>
  <c r="G53" i="7"/>
  <c r="K53" i="7"/>
  <c r="C54" i="7"/>
  <c r="G54" i="7"/>
  <c r="K54" i="7"/>
  <c r="C55" i="7"/>
  <c r="G55" i="7"/>
  <c r="K55" i="7"/>
  <c r="C56" i="7"/>
  <c r="G56" i="7"/>
  <c r="K56" i="7"/>
  <c r="C57" i="7"/>
  <c r="G57" i="7"/>
  <c r="K57" i="7"/>
  <c r="C58" i="7"/>
  <c r="G58" i="7"/>
  <c r="K58" i="7"/>
  <c r="C59" i="7"/>
  <c r="G59" i="7"/>
  <c r="K59" i="7"/>
  <c r="C60" i="7"/>
  <c r="G60" i="7"/>
  <c r="K60" i="7"/>
  <c r="B54" i="7"/>
  <c r="B55" i="7"/>
  <c r="B56" i="7"/>
  <c r="B57" i="7"/>
  <c r="B58" i="7"/>
  <c r="B59" i="7"/>
  <c r="B60" i="7"/>
  <c r="B53" i="7"/>
  <c r="I51" i="7"/>
  <c r="L51" i="7"/>
  <c r="M51" i="7"/>
  <c r="N51" i="7"/>
  <c r="E51" i="7"/>
  <c r="C16" i="7"/>
  <c r="H16" i="7"/>
  <c r="J16" i="7"/>
  <c r="C17" i="7"/>
  <c r="H17" i="7"/>
  <c r="J17" i="7"/>
  <c r="C18" i="7"/>
  <c r="H18" i="7"/>
  <c r="J18" i="7"/>
  <c r="C19" i="7"/>
  <c r="H19" i="7"/>
  <c r="J19" i="7"/>
  <c r="C20" i="7"/>
  <c r="H20" i="7"/>
  <c r="J20" i="7"/>
  <c r="C21" i="7"/>
  <c r="H21" i="7"/>
  <c r="J21" i="7"/>
  <c r="C22" i="7"/>
  <c r="H22" i="7"/>
  <c r="J22" i="7"/>
  <c r="C23" i="7"/>
  <c r="H23" i="7"/>
  <c r="J23" i="7"/>
  <c r="C24" i="7"/>
  <c r="H24" i="7"/>
  <c r="J24" i="7"/>
  <c r="C25" i="7"/>
  <c r="H25" i="7"/>
  <c r="J25" i="7"/>
  <c r="C26" i="7"/>
  <c r="D26" i="7"/>
  <c r="G26" i="7"/>
  <c r="K26" i="7"/>
  <c r="C27" i="7"/>
  <c r="G27" i="7"/>
  <c r="K27" i="7"/>
  <c r="C28" i="7"/>
  <c r="G28" i="7"/>
  <c r="K28" i="7"/>
  <c r="C29" i="7"/>
  <c r="G29" i="7"/>
  <c r="K29" i="7"/>
  <c r="C30" i="7"/>
  <c r="G30" i="7"/>
  <c r="K30" i="7"/>
  <c r="C31" i="7"/>
  <c r="G31" i="7"/>
  <c r="K31" i="7"/>
  <c r="C32" i="7"/>
  <c r="G32" i="7"/>
  <c r="K32" i="7"/>
  <c r="C33" i="7"/>
  <c r="G33" i="7"/>
  <c r="K33" i="7"/>
  <c r="C34" i="7"/>
  <c r="G34" i="7"/>
  <c r="K34" i="7"/>
  <c r="C35" i="7"/>
  <c r="G35" i="7"/>
  <c r="K35" i="7"/>
  <c r="C36" i="7"/>
  <c r="G36" i="7"/>
  <c r="K36" i="7"/>
  <c r="C37" i="7"/>
  <c r="H37" i="7"/>
  <c r="J37" i="7"/>
  <c r="C38" i="7"/>
  <c r="H38" i="7"/>
  <c r="J38" i="7"/>
  <c r="C39" i="7"/>
  <c r="G39" i="7"/>
  <c r="K39" i="7"/>
  <c r="C40" i="7"/>
  <c r="G40" i="7"/>
  <c r="K40" i="7"/>
  <c r="C41" i="7"/>
  <c r="G41" i="7"/>
  <c r="K41" i="7"/>
  <c r="C42" i="7"/>
  <c r="G42" i="7"/>
  <c r="K42" i="7"/>
  <c r="C43" i="7"/>
  <c r="G43" i="7"/>
  <c r="K43" i="7"/>
  <c r="C44" i="7"/>
  <c r="G44" i="7"/>
  <c r="K44" i="7"/>
  <c r="C45" i="7"/>
  <c r="G45" i="7"/>
  <c r="K45" i="7"/>
  <c r="C46" i="7"/>
  <c r="G46" i="7"/>
  <c r="K46" i="7"/>
  <c r="C47" i="7"/>
  <c r="G47" i="7"/>
  <c r="K47" i="7"/>
  <c r="C48" i="7"/>
  <c r="G48" i="7"/>
  <c r="K48" i="7"/>
  <c r="C49" i="7"/>
  <c r="F49" i="7"/>
  <c r="K49" i="7"/>
  <c r="C50" i="7"/>
  <c r="F50" i="7"/>
  <c r="K50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16" i="7"/>
  <c r="F14" i="7"/>
  <c r="G14" i="7"/>
  <c r="I14" i="7"/>
  <c r="L14" i="7"/>
  <c r="M14" i="7"/>
  <c r="N14" i="7"/>
  <c r="E14" i="7"/>
  <c r="C6" i="7"/>
  <c r="H6" i="7"/>
  <c r="J6" i="7"/>
  <c r="C7" i="7"/>
  <c r="H7" i="7"/>
  <c r="J7" i="7"/>
  <c r="C8" i="7"/>
  <c r="H8" i="7"/>
  <c r="K8" i="7"/>
  <c r="C9" i="7"/>
  <c r="H9" i="7"/>
  <c r="J9" i="7"/>
  <c r="C10" i="7"/>
  <c r="H10" i="7"/>
  <c r="K10" i="7"/>
  <c r="C11" i="7"/>
  <c r="H11" i="7"/>
  <c r="J11" i="7"/>
  <c r="C12" i="7"/>
  <c r="H12" i="7"/>
  <c r="K12" i="7"/>
  <c r="C13" i="7"/>
  <c r="H13" i="7"/>
  <c r="J13" i="7"/>
  <c r="B7" i="7"/>
  <c r="B8" i="7"/>
  <c r="B9" i="7"/>
  <c r="B10" i="7"/>
  <c r="B11" i="7"/>
  <c r="B12" i="7"/>
  <c r="B13" i="7"/>
  <c r="B6" i="7"/>
  <c r="N63" i="6"/>
  <c r="M63" i="6"/>
  <c r="I63" i="6"/>
  <c r="F63" i="6"/>
  <c r="E63" i="6"/>
  <c r="I39" i="6"/>
  <c r="L39" i="6"/>
  <c r="M39" i="6"/>
  <c r="N39" i="6"/>
  <c r="F39" i="6"/>
  <c r="E39" i="6"/>
  <c r="B6" i="6"/>
  <c r="C6" i="6"/>
  <c r="H6" i="6"/>
  <c r="J6" i="6"/>
  <c r="B7" i="6"/>
  <c r="C7" i="6"/>
  <c r="H7" i="6"/>
  <c r="J7" i="6"/>
  <c r="B8" i="6"/>
  <c r="C8" i="6"/>
  <c r="H8" i="6"/>
  <c r="J8" i="6"/>
  <c r="B9" i="6"/>
  <c r="C9" i="6"/>
  <c r="H9" i="6"/>
  <c r="J9" i="6"/>
  <c r="B10" i="6"/>
  <c r="C10" i="6"/>
  <c r="H10" i="6"/>
  <c r="J10" i="6"/>
  <c r="B11" i="6"/>
  <c r="C11" i="6"/>
  <c r="H11" i="6"/>
  <c r="J11" i="6"/>
  <c r="B12" i="6"/>
  <c r="C12" i="6"/>
  <c r="H12" i="6"/>
  <c r="J12" i="6"/>
  <c r="B13" i="6"/>
  <c r="C13" i="6"/>
  <c r="H13" i="6"/>
  <c r="J13" i="6"/>
  <c r="B14" i="6"/>
  <c r="C14" i="6"/>
  <c r="H14" i="6"/>
  <c r="J14" i="6"/>
  <c r="B15" i="6"/>
  <c r="C15" i="6"/>
  <c r="H15" i="6"/>
  <c r="J15" i="6"/>
  <c r="B16" i="6"/>
  <c r="C16" i="6"/>
  <c r="D16" i="6"/>
  <c r="G16" i="6"/>
  <c r="K16" i="6"/>
  <c r="B17" i="6"/>
  <c r="C17" i="6"/>
  <c r="G17" i="6"/>
  <c r="K17" i="6"/>
  <c r="B18" i="6"/>
  <c r="C18" i="6"/>
  <c r="G18" i="6"/>
  <c r="K18" i="6"/>
  <c r="B19" i="6"/>
  <c r="C19" i="6"/>
  <c r="G19" i="6"/>
  <c r="K19" i="6"/>
  <c r="B20" i="6"/>
  <c r="C20" i="6"/>
  <c r="G20" i="6"/>
  <c r="K20" i="6"/>
  <c r="B21" i="6"/>
  <c r="C21" i="6"/>
  <c r="G21" i="6"/>
  <c r="K21" i="6"/>
  <c r="B22" i="6"/>
  <c r="C22" i="6"/>
  <c r="G22" i="6"/>
  <c r="K22" i="6"/>
  <c r="B23" i="6"/>
  <c r="C23" i="6"/>
  <c r="G23" i="6"/>
  <c r="K23" i="6"/>
  <c r="B24" i="6"/>
  <c r="C24" i="6"/>
  <c r="G24" i="6"/>
  <c r="K24" i="6"/>
  <c r="B25" i="6"/>
  <c r="C25" i="6"/>
  <c r="G25" i="6"/>
  <c r="K25" i="6"/>
  <c r="B26" i="6"/>
  <c r="C26" i="6"/>
  <c r="G26" i="6"/>
  <c r="K26" i="6"/>
  <c r="B27" i="6"/>
  <c r="C27" i="6"/>
  <c r="H27" i="6"/>
  <c r="J27" i="6"/>
  <c r="B28" i="6"/>
  <c r="C28" i="6"/>
  <c r="H28" i="6"/>
  <c r="J28" i="6"/>
  <c r="B29" i="6"/>
  <c r="C29" i="6"/>
  <c r="G29" i="6"/>
  <c r="K29" i="6"/>
  <c r="B30" i="6"/>
  <c r="C30" i="6"/>
  <c r="G30" i="6"/>
  <c r="K30" i="6"/>
  <c r="B31" i="6"/>
  <c r="C31" i="6"/>
  <c r="G31" i="6"/>
  <c r="K31" i="6"/>
  <c r="B32" i="6"/>
  <c r="C32" i="6"/>
  <c r="G32" i="6"/>
  <c r="K32" i="6"/>
  <c r="B33" i="6"/>
  <c r="C33" i="6"/>
  <c r="G33" i="6"/>
  <c r="K33" i="6"/>
  <c r="B34" i="6"/>
  <c r="C34" i="6"/>
  <c r="G34" i="6"/>
  <c r="K34" i="6"/>
  <c r="B35" i="6"/>
  <c r="C35" i="6"/>
  <c r="G35" i="6"/>
  <c r="K35" i="6"/>
  <c r="B36" i="6"/>
  <c r="C36" i="6"/>
  <c r="G36" i="6"/>
  <c r="K36" i="6"/>
  <c r="B37" i="6"/>
  <c r="C37" i="6"/>
  <c r="G37" i="6"/>
  <c r="K37" i="6"/>
  <c r="E64" i="6"/>
  <c r="F64" i="6"/>
  <c r="I64" i="6"/>
  <c r="M64" i="6"/>
  <c r="N64" i="6"/>
  <c r="C41" i="6"/>
  <c r="G41" i="6"/>
  <c r="K41" i="6"/>
  <c r="C42" i="6"/>
  <c r="G42" i="6"/>
  <c r="K42" i="6"/>
  <c r="C43" i="6"/>
  <c r="G43" i="6"/>
  <c r="K43" i="6"/>
  <c r="C44" i="6"/>
  <c r="H44" i="6"/>
  <c r="J44" i="6"/>
  <c r="C45" i="6"/>
  <c r="H45" i="6"/>
  <c r="J45" i="6"/>
  <c r="C46" i="6"/>
  <c r="H46" i="6"/>
  <c r="J46" i="6"/>
  <c r="C47" i="6"/>
  <c r="H47" i="6"/>
  <c r="J47" i="6"/>
  <c r="C48" i="6"/>
  <c r="H48" i="6"/>
  <c r="J48" i="6"/>
  <c r="C49" i="6"/>
  <c r="H49" i="6"/>
  <c r="J49" i="6"/>
  <c r="C50" i="6"/>
  <c r="H50" i="6"/>
  <c r="J50" i="6"/>
  <c r="C51" i="6"/>
  <c r="H51" i="6"/>
  <c r="J51" i="6"/>
  <c r="C52" i="6"/>
  <c r="H52" i="6"/>
  <c r="J52" i="6"/>
  <c r="C53" i="6"/>
  <c r="G53" i="6"/>
  <c r="K53" i="6"/>
  <c r="C54" i="6"/>
  <c r="G54" i="6"/>
  <c r="K54" i="6"/>
  <c r="C55" i="6"/>
  <c r="G55" i="6"/>
  <c r="K55" i="6"/>
  <c r="C56" i="6"/>
  <c r="G56" i="6"/>
  <c r="K56" i="6"/>
  <c r="C57" i="6"/>
  <c r="G57" i="6"/>
  <c r="K57" i="6"/>
  <c r="C58" i="6"/>
  <c r="G58" i="6"/>
  <c r="K58" i="6"/>
  <c r="C59" i="6"/>
  <c r="G59" i="6"/>
  <c r="K59" i="6"/>
  <c r="C60" i="6"/>
  <c r="G60" i="6"/>
  <c r="K60" i="6"/>
  <c r="C61" i="6"/>
  <c r="H61" i="6"/>
  <c r="J61" i="6"/>
  <c r="C62" i="6"/>
  <c r="H62" i="6"/>
  <c r="L62" i="6"/>
  <c r="L64" i="6" s="1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41" i="6"/>
  <c r="C38" i="6"/>
  <c r="G38" i="6"/>
  <c r="K38" i="6"/>
  <c r="B38" i="6"/>
  <c r="N41" i="5"/>
  <c r="M41" i="5"/>
  <c r="L41" i="5"/>
  <c r="E41" i="5"/>
  <c r="D14" i="2"/>
  <c r="C7" i="5"/>
  <c r="H7" i="5"/>
  <c r="J7" i="5"/>
  <c r="C8" i="5"/>
  <c r="H8" i="5"/>
  <c r="J8" i="5"/>
  <c r="C9" i="5"/>
  <c r="H9" i="5"/>
  <c r="J9" i="5"/>
  <c r="C10" i="5"/>
  <c r="H10" i="5"/>
  <c r="J10" i="5"/>
  <c r="C11" i="5"/>
  <c r="H11" i="5"/>
  <c r="J11" i="5"/>
  <c r="C12" i="5"/>
  <c r="H12" i="5"/>
  <c r="J12" i="5"/>
  <c r="C13" i="5"/>
  <c r="H13" i="5"/>
  <c r="J13" i="5"/>
  <c r="C14" i="5"/>
  <c r="H14" i="5"/>
  <c r="J14" i="5"/>
  <c r="C15" i="5"/>
  <c r="H15" i="5"/>
  <c r="J15" i="5"/>
  <c r="C16" i="5"/>
  <c r="D16" i="5"/>
  <c r="G16" i="5"/>
  <c r="K16" i="5"/>
  <c r="C17" i="5"/>
  <c r="G17" i="5"/>
  <c r="K17" i="5"/>
  <c r="C18" i="5"/>
  <c r="G18" i="5"/>
  <c r="K18" i="5"/>
  <c r="C19" i="5"/>
  <c r="G19" i="5"/>
  <c r="K19" i="5"/>
  <c r="C20" i="5"/>
  <c r="G20" i="5"/>
  <c r="K20" i="5"/>
  <c r="C21" i="5"/>
  <c r="G21" i="5"/>
  <c r="K21" i="5"/>
  <c r="C22" i="5"/>
  <c r="G22" i="5"/>
  <c r="K22" i="5"/>
  <c r="C23" i="5"/>
  <c r="G23" i="5"/>
  <c r="K23" i="5"/>
  <c r="C24" i="5"/>
  <c r="G24" i="5"/>
  <c r="K24" i="5"/>
  <c r="C25" i="5"/>
  <c r="G25" i="5"/>
  <c r="K25" i="5"/>
  <c r="C26" i="5"/>
  <c r="G26" i="5"/>
  <c r="K26" i="5"/>
  <c r="C27" i="5"/>
  <c r="H27" i="5"/>
  <c r="J27" i="5"/>
  <c r="C28" i="5"/>
  <c r="H28" i="5"/>
  <c r="J28" i="5"/>
  <c r="C29" i="5"/>
  <c r="G29" i="5"/>
  <c r="K29" i="5"/>
  <c r="C30" i="5"/>
  <c r="G30" i="5"/>
  <c r="K30" i="5"/>
  <c r="C31" i="5"/>
  <c r="G31" i="5"/>
  <c r="K31" i="5"/>
  <c r="C32" i="5"/>
  <c r="G32" i="5"/>
  <c r="K32" i="5"/>
  <c r="C33" i="5"/>
  <c r="G33" i="5"/>
  <c r="K33" i="5"/>
  <c r="C34" i="5"/>
  <c r="G34" i="5"/>
  <c r="K34" i="5"/>
  <c r="C35" i="5"/>
  <c r="G35" i="5"/>
  <c r="K35" i="5"/>
  <c r="C36" i="5"/>
  <c r="G36" i="5"/>
  <c r="K36" i="5"/>
  <c r="C37" i="5"/>
  <c r="G37" i="5"/>
  <c r="K37" i="5"/>
  <c r="C38" i="5"/>
  <c r="G38" i="5"/>
  <c r="K38" i="5"/>
  <c r="C39" i="5"/>
  <c r="F39" i="5"/>
  <c r="K39" i="5"/>
  <c r="C40" i="5"/>
  <c r="F40" i="5"/>
  <c r="K40" i="5"/>
  <c r="B39" i="5"/>
  <c r="B40" i="5"/>
  <c r="B28" i="5"/>
  <c r="B29" i="5"/>
  <c r="B30" i="5"/>
  <c r="B31" i="5"/>
  <c r="B32" i="5"/>
  <c r="B33" i="5"/>
  <c r="B34" i="5"/>
  <c r="B35" i="5"/>
  <c r="B36" i="5"/>
  <c r="B37" i="5"/>
  <c r="B38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C6" i="5"/>
  <c r="H6" i="5"/>
  <c r="J6" i="5"/>
  <c r="B6" i="5"/>
  <c r="F6" i="4"/>
  <c r="F29" i="4" s="1"/>
  <c r="L6" i="4"/>
  <c r="C6" i="4"/>
  <c r="B6" i="4"/>
  <c r="E29" i="4"/>
  <c r="G7" i="4"/>
  <c r="K7" i="4"/>
  <c r="C7" i="4"/>
  <c r="M29" i="4"/>
  <c r="B7" i="4"/>
  <c r="N29" i="4"/>
  <c r="B8" i="4"/>
  <c r="C8" i="4"/>
  <c r="G8" i="4"/>
  <c r="K8" i="4"/>
  <c r="B9" i="4"/>
  <c r="C9" i="4"/>
  <c r="G9" i="4"/>
  <c r="K9" i="4"/>
  <c r="B10" i="4"/>
  <c r="C10" i="4"/>
  <c r="H10" i="4"/>
  <c r="J10" i="4"/>
  <c r="B11" i="4"/>
  <c r="C11" i="4"/>
  <c r="H11" i="4"/>
  <c r="J11" i="4"/>
  <c r="B12" i="4"/>
  <c r="C12" i="4"/>
  <c r="H12" i="4"/>
  <c r="J12" i="4"/>
  <c r="B13" i="4"/>
  <c r="C13" i="4"/>
  <c r="H13" i="4"/>
  <c r="J13" i="4"/>
  <c r="B14" i="4"/>
  <c r="C14" i="4"/>
  <c r="H14" i="4"/>
  <c r="J14" i="4"/>
  <c r="B15" i="4"/>
  <c r="C15" i="4"/>
  <c r="H15" i="4"/>
  <c r="J15" i="4"/>
  <c r="B16" i="4"/>
  <c r="C16" i="4"/>
  <c r="H16" i="4"/>
  <c r="J16" i="4"/>
  <c r="B17" i="4"/>
  <c r="C17" i="4"/>
  <c r="H17" i="4"/>
  <c r="J17" i="4"/>
  <c r="B18" i="4"/>
  <c r="C18" i="4"/>
  <c r="H18" i="4"/>
  <c r="J18" i="4"/>
  <c r="B19" i="4"/>
  <c r="C19" i="4"/>
  <c r="G19" i="4"/>
  <c r="K19" i="4"/>
  <c r="B20" i="4"/>
  <c r="C20" i="4"/>
  <c r="G20" i="4"/>
  <c r="K20" i="4"/>
  <c r="B21" i="4"/>
  <c r="C21" i="4"/>
  <c r="G21" i="4"/>
  <c r="K21" i="4"/>
  <c r="B22" i="4"/>
  <c r="C22" i="4"/>
  <c r="G22" i="4"/>
  <c r="K22" i="4"/>
  <c r="B23" i="4"/>
  <c r="C23" i="4"/>
  <c r="G23" i="4"/>
  <c r="K23" i="4"/>
  <c r="B24" i="4"/>
  <c r="C24" i="4"/>
  <c r="G24" i="4"/>
  <c r="K24" i="4"/>
  <c r="B25" i="4"/>
  <c r="C25" i="4"/>
  <c r="G25" i="4"/>
  <c r="K25" i="4"/>
  <c r="B26" i="4"/>
  <c r="C26" i="4"/>
  <c r="G26" i="4"/>
  <c r="K26" i="4"/>
  <c r="B27" i="4"/>
  <c r="C27" i="4"/>
  <c r="H27" i="4"/>
  <c r="J27" i="4"/>
  <c r="B28" i="4"/>
  <c r="C28" i="4"/>
  <c r="H28" i="4"/>
  <c r="L28" i="4"/>
  <c r="E20" i="3"/>
  <c r="F20" i="3"/>
  <c r="L20" i="3"/>
  <c r="M20" i="3"/>
  <c r="N20" i="3"/>
  <c r="B7" i="3"/>
  <c r="C7" i="3"/>
  <c r="H7" i="3"/>
  <c r="J7" i="3"/>
  <c r="B8" i="3"/>
  <c r="C8" i="3"/>
  <c r="H8" i="3"/>
  <c r="J8" i="3"/>
  <c r="B9" i="3"/>
  <c r="C9" i="3"/>
  <c r="H9" i="3"/>
  <c r="J9" i="3"/>
  <c r="B10" i="3"/>
  <c r="C10" i="3"/>
  <c r="H10" i="3"/>
  <c r="J10" i="3"/>
  <c r="B11" i="3"/>
  <c r="C11" i="3"/>
  <c r="H11" i="3"/>
  <c r="J11" i="3"/>
  <c r="B12" i="3"/>
  <c r="C12" i="3"/>
  <c r="H12" i="3"/>
  <c r="J12" i="3"/>
  <c r="B13" i="3"/>
  <c r="C13" i="3"/>
  <c r="H13" i="3"/>
  <c r="J13" i="3"/>
  <c r="B14" i="3"/>
  <c r="C14" i="3"/>
  <c r="H14" i="3"/>
  <c r="J14" i="3"/>
  <c r="B15" i="3"/>
  <c r="C15" i="3"/>
  <c r="G15" i="3"/>
  <c r="K15" i="3"/>
  <c r="B16" i="3"/>
  <c r="C16" i="3"/>
  <c r="G16" i="3"/>
  <c r="K16" i="3"/>
  <c r="B17" i="3"/>
  <c r="C17" i="3"/>
  <c r="G17" i="3"/>
  <c r="K17" i="3"/>
  <c r="B18" i="3"/>
  <c r="C18" i="3"/>
  <c r="G18" i="3"/>
  <c r="K18" i="3"/>
  <c r="B19" i="3"/>
  <c r="C19" i="3"/>
  <c r="G19" i="3"/>
  <c r="K19" i="3"/>
  <c r="C6" i="3"/>
  <c r="H6" i="3"/>
  <c r="J6" i="3"/>
  <c r="B6" i="3"/>
  <c r="D13" i="2"/>
  <c r="D12" i="2"/>
  <c r="D11" i="2"/>
  <c r="D10" i="2"/>
  <c r="D9" i="2"/>
  <c r="D8" i="2"/>
  <c r="D7" i="2"/>
  <c r="D6" i="2"/>
  <c r="C367" i="1"/>
  <c r="D6" i="1"/>
  <c r="D7" i="1"/>
  <c r="D8" i="1"/>
  <c r="D9" i="1"/>
  <c r="D11" i="1"/>
  <c r="D12" i="1"/>
  <c r="D15" i="1"/>
  <c r="D16" i="1"/>
  <c r="D17" i="1"/>
  <c r="D18" i="1"/>
  <c r="D19" i="1"/>
  <c r="D20" i="1"/>
  <c r="D21" i="1"/>
  <c r="D22" i="1"/>
  <c r="D23" i="1"/>
  <c r="D24" i="1"/>
  <c r="D6" i="7"/>
  <c r="D7" i="7"/>
  <c r="D8" i="7"/>
  <c r="D9" i="7"/>
  <c r="D10" i="7"/>
  <c r="D11" i="7"/>
  <c r="D12" i="7"/>
  <c r="D13" i="7"/>
  <c r="D6" i="5"/>
  <c r="D17" i="7"/>
  <c r="D18" i="7"/>
  <c r="D9" i="5"/>
  <c r="D20" i="7"/>
  <c r="D11" i="5"/>
  <c r="D22" i="7"/>
  <c r="D23" i="7"/>
  <c r="D14" i="5"/>
  <c r="D15" i="5"/>
  <c r="D27" i="7"/>
  <c r="D18" i="5"/>
  <c r="D29" i="7"/>
  <c r="D20" i="5"/>
  <c r="D21" i="5"/>
  <c r="D32" i="7"/>
  <c r="D33" i="7"/>
  <c r="D24" i="5"/>
  <c r="D25" i="6"/>
  <c r="D26" i="5"/>
  <c r="D37" i="7"/>
  <c r="D38" i="7"/>
  <c r="D29" i="5"/>
  <c r="D31" i="5"/>
  <c r="D42" i="7"/>
  <c r="D33" i="6"/>
  <c r="D34" i="5"/>
  <c r="D35" i="5"/>
  <c r="D36" i="6"/>
  <c r="D47" i="7"/>
  <c r="D48" i="7"/>
  <c r="D39" i="5"/>
  <c r="D50" i="7"/>
  <c r="D53" i="7"/>
  <c r="D54" i="7"/>
  <c r="D55" i="7"/>
  <c r="D56" i="7"/>
  <c r="D57" i="7"/>
  <c r="D58" i="7"/>
  <c r="D59" i="7"/>
  <c r="D60" i="7"/>
  <c r="D63" i="7"/>
  <c r="D64" i="7"/>
  <c r="D8" i="4"/>
  <c r="D9" i="4"/>
  <c r="D67" i="7"/>
  <c r="D68" i="7"/>
  <c r="D69" i="7"/>
  <c r="D70" i="7"/>
  <c r="D48" i="6"/>
  <c r="D49" i="6"/>
  <c r="D73" i="7"/>
  <c r="D74" i="7"/>
  <c r="D75" i="7"/>
  <c r="D19" i="4"/>
  <c r="D20" i="4"/>
  <c r="D78" i="7"/>
  <c r="D79" i="7"/>
  <c r="D23" i="4"/>
  <c r="D24" i="4"/>
  <c r="D59" i="6"/>
  <c r="D83" i="7"/>
  <c r="D84" i="7"/>
  <c r="D62" i="6"/>
  <c r="D354" i="1"/>
  <c r="D355" i="1"/>
  <c r="D356" i="1"/>
  <c r="D357" i="1"/>
  <c r="D358" i="1"/>
  <c r="D359" i="1"/>
  <c r="D30" i="5"/>
  <c r="R51" i="17" l="1"/>
  <c r="D361" i="1"/>
  <c r="D362" i="1"/>
  <c r="B18" i="2"/>
  <c r="B22" i="2" s="1"/>
  <c r="X25" i="1"/>
  <c r="J403" i="1" a="1"/>
  <c r="J403" i="1" s="1"/>
  <c r="J411" i="1" s="1"/>
  <c r="B17" i="2"/>
  <c r="D17" i="4"/>
  <c r="D26" i="6"/>
  <c r="Q72" i="6"/>
  <c r="D27" i="5"/>
  <c r="D15" i="3"/>
  <c r="D12" i="5"/>
  <c r="D72" i="7"/>
  <c r="D46" i="6"/>
  <c r="D21" i="7"/>
  <c r="D28" i="4"/>
  <c r="T70" i="6"/>
  <c r="D25" i="5"/>
  <c r="D19" i="6"/>
  <c r="D35" i="7"/>
  <c r="D43" i="6"/>
  <c r="D40" i="5"/>
  <c r="D66" i="7"/>
  <c r="D27" i="6"/>
  <c r="T10" i="6"/>
  <c r="D34" i="7"/>
  <c r="S95" i="7"/>
  <c r="AB9" i="1"/>
  <c r="AB10" i="1"/>
  <c r="D10" i="3"/>
  <c r="D14" i="4"/>
  <c r="D22" i="5"/>
  <c r="D19" i="5"/>
  <c r="D56" i="6"/>
  <c r="D49" i="7"/>
  <c r="D31" i="7"/>
  <c r="D28" i="7"/>
  <c r="D76" i="7"/>
  <c r="D22" i="4"/>
  <c r="D32" i="5"/>
  <c r="D52" i="6"/>
  <c r="D21" i="6"/>
  <c r="D41" i="7"/>
  <c r="D7" i="5"/>
  <c r="D45" i="6"/>
  <c r="D42" i="6"/>
  <c r="D31" i="6"/>
  <c r="D23" i="6"/>
  <c r="D7" i="6"/>
  <c r="D16" i="7"/>
  <c r="D65" i="7"/>
  <c r="Q95" i="7"/>
  <c r="T10" i="5"/>
  <c r="D18" i="6"/>
  <c r="D30" i="7"/>
  <c r="D6" i="3"/>
  <c r="D9" i="3"/>
  <c r="D13" i="4"/>
  <c r="D51" i="6"/>
  <c r="D40" i="7"/>
  <c r="D71" i="7"/>
  <c r="D14" i="3"/>
  <c r="D18" i="4"/>
  <c r="D20" i="6"/>
  <c r="D36" i="7"/>
  <c r="T45" i="6"/>
  <c r="D7" i="3"/>
  <c r="D11" i="3"/>
  <c r="D10" i="4"/>
  <c r="D47" i="6"/>
  <c r="D44" i="6"/>
  <c r="D19" i="3"/>
  <c r="D57" i="6"/>
  <c r="D30" i="6"/>
  <c r="D22" i="6"/>
  <c r="D6" i="6"/>
  <c r="D77" i="7"/>
  <c r="D50" i="6"/>
  <c r="T71" i="6"/>
  <c r="T10" i="4"/>
  <c r="D12" i="4"/>
  <c r="D11" i="6"/>
  <c r="W11" i="1"/>
  <c r="Y11" i="1"/>
  <c r="Z11" i="1"/>
  <c r="AA11" i="1"/>
  <c r="AB8" i="1"/>
  <c r="F41" i="5"/>
  <c r="G63" i="6"/>
  <c r="D17" i="5"/>
  <c r="K63" i="6"/>
  <c r="D26" i="4"/>
  <c r="K41" i="5"/>
  <c r="D6" i="4"/>
  <c r="D10" i="5"/>
  <c r="D44" i="7"/>
  <c r="D39" i="7"/>
  <c r="D19" i="7"/>
  <c r="H41" i="5"/>
  <c r="D80" i="7"/>
  <c r="D54" i="6"/>
  <c r="C86" i="7"/>
  <c r="D13" i="3"/>
  <c r="D16" i="4"/>
  <c r="D17" i="6"/>
  <c r="D37" i="5"/>
  <c r="D46" i="7"/>
  <c r="I17" i="2"/>
  <c r="J63" i="6"/>
  <c r="D25" i="4"/>
  <c r="D60" i="6"/>
  <c r="D55" i="6"/>
  <c r="D10" i="6"/>
  <c r="C61" i="7"/>
  <c r="D37" i="6"/>
  <c r="B63" i="6"/>
  <c r="D58" i="6"/>
  <c r="K39" i="6"/>
  <c r="J39" i="6"/>
  <c r="G39" i="6"/>
  <c r="H39" i="6"/>
  <c r="D7" i="4"/>
  <c r="D35" i="6"/>
  <c r="D15" i="6"/>
  <c r="D82" i="7"/>
  <c r="D61" i="6"/>
  <c r="D41" i="6"/>
  <c r="G41" i="5"/>
  <c r="C63" i="6"/>
  <c r="D63" i="6" s="1"/>
  <c r="D36" i="5"/>
  <c r="D45" i="7"/>
  <c r="D25" i="7"/>
  <c r="C42" i="5"/>
  <c r="C43" i="5" s="1"/>
  <c r="H63" i="6"/>
  <c r="D81" i="7"/>
  <c r="D18" i="3"/>
  <c r="D14" i="6"/>
  <c r="D13" i="6"/>
  <c r="D38" i="6"/>
  <c r="D43" i="7"/>
  <c r="D53" i="6"/>
  <c r="D16" i="3"/>
  <c r="D12" i="3"/>
  <c r="D8" i="3"/>
  <c r="D27" i="4"/>
  <c r="D15" i="4"/>
  <c r="D11" i="4"/>
  <c r="D38" i="5"/>
  <c r="D33" i="5"/>
  <c r="D28" i="5"/>
  <c r="D23" i="5"/>
  <c r="D13" i="5"/>
  <c r="D8" i="5"/>
  <c r="D32" i="6"/>
  <c r="D28" i="6"/>
  <c r="D24" i="6"/>
  <c r="D12" i="6"/>
  <c r="D8" i="6"/>
  <c r="D21" i="4"/>
  <c r="D34" i="6"/>
  <c r="J41" i="5"/>
  <c r="D24" i="7"/>
  <c r="D17" i="3"/>
  <c r="D29" i="6"/>
  <c r="D9" i="6"/>
  <c r="B39" i="6"/>
  <c r="B61" i="7"/>
  <c r="C39" i="6"/>
  <c r="D39" i="6" s="1"/>
  <c r="L63" i="6"/>
  <c r="T10" i="3"/>
  <c r="C21" i="3"/>
  <c r="C22" i="3" s="1"/>
  <c r="K20" i="3"/>
  <c r="G20" i="3"/>
  <c r="J20" i="3"/>
  <c r="H20" i="3"/>
  <c r="S72" i="6"/>
  <c r="R72" i="6"/>
  <c r="T69" i="6"/>
  <c r="K61" i="7"/>
  <c r="H86" i="7"/>
  <c r="R95" i="7"/>
  <c r="B14" i="7"/>
  <c r="G61" i="7"/>
  <c r="F87" i="7"/>
  <c r="B86" i="7"/>
  <c r="C88" i="7"/>
  <c r="C89" i="7" s="1"/>
  <c r="G86" i="7"/>
  <c r="J87" i="7"/>
  <c r="H87" i="7"/>
  <c r="K86" i="7"/>
  <c r="G87" i="7"/>
  <c r="J86" i="7"/>
  <c r="K87" i="7"/>
  <c r="T93" i="7"/>
  <c r="T94" i="7"/>
  <c r="T57" i="7"/>
  <c r="T92" i="7"/>
  <c r="L87" i="7"/>
  <c r="T67" i="7"/>
  <c r="T20" i="7"/>
  <c r="T10" i="7"/>
  <c r="K51" i="7"/>
  <c r="J51" i="7"/>
  <c r="B51" i="7"/>
  <c r="F51" i="7"/>
  <c r="C14" i="7"/>
  <c r="D14" i="7" s="1"/>
  <c r="C51" i="7"/>
  <c r="D51" i="7" s="1"/>
  <c r="J14" i="7"/>
  <c r="G51" i="7"/>
  <c r="H51" i="7"/>
  <c r="K14" i="7"/>
  <c r="H14" i="7"/>
  <c r="K64" i="6"/>
  <c r="H64" i="6"/>
  <c r="G64" i="6"/>
  <c r="J64" i="6"/>
  <c r="C65" i="6"/>
  <c r="C66" i="6" s="1"/>
  <c r="J17" i="2"/>
  <c r="N17" i="2"/>
  <c r="M17" i="2"/>
  <c r="L17" i="2"/>
  <c r="K17" i="2"/>
  <c r="G17" i="2"/>
  <c r="L29" i="4"/>
  <c r="J29" i="4"/>
  <c r="C30" i="4"/>
  <c r="C31" i="4" s="1"/>
  <c r="K29" i="4"/>
  <c r="G29" i="4"/>
  <c r="H29" i="4"/>
  <c r="H364" i="1"/>
  <c r="I364" i="1"/>
  <c r="K364" i="1"/>
  <c r="J364" i="1" l="1"/>
  <c r="K403" i="1"/>
  <c r="J413" i="1" a="1"/>
  <c r="J413" i="1" s="1"/>
  <c r="J43" i="5"/>
  <c r="M42" i="5" s="1"/>
  <c r="T95" i="7"/>
  <c r="T72" i="6"/>
  <c r="AB11" i="1"/>
  <c r="J66" i="6"/>
  <c r="N65" i="6" s="1"/>
  <c r="J22" i="3"/>
  <c r="J89" i="7"/>
  <c r="J88" i="7" s="1"/>
  <c r="J19" i="2"/>
  <c r="N18" i="2" s="1"/>
  <c r="J31" i="4"/>
  <c r="M30" i="4" s="1"/>
  <c r="O364" i="1"/>
  <c r="M364" i="1"/>
  <c r="L364" i="1"/>
  <c r="H17" i="2" l="1"/>
  <c r="M403" i="1"/>
  <c r="M411" i="1" s="1"/>
  <c r="M412" i="1" s="1"/>
  <c r="L403" i="1"/>
  <c r="K411" i="1"/>
  <c r="D415" i="1" a="1"/>
  <c r="D415" i="1" s="1"/>
  <c r="K42" i="5"/>
  <c r="L42" i="5"/>
  <c r="J42" i="5"/>
  <c r="N42" i="5"/>
  <c r="J65" i="6"/>
  <c r="J18" i="2"/>
  <c r="M65" i="6"/>
  <c r="L65" i="6"/>
  <c r="K65" i="6"/>
  <c r="M18" i="2"/>
  <c r="L18" i="2"/>
  <c r="K18" i="2"/>
  <c r="K21" i="3"/>
  <c r="J21" i="3"/>
  <c r="M21" i="3"/>
  <c r="N21" i="3"/>
  <c r="L21" i="3"/>
  <c r="M88" i="7"/>
  <c r="N88" i="7"/>
  <c r="K88" i="7"/>
  <c r="L88" i="7"/>
  <c r="D61" i="7"/>
  <c r="D86" i="7"/>
  <c r="N30" i="4"/>
  <c r="K30" i="4"/>
  <c r="J30" i="4"/>
  <c r="L30" i="4"/>
  <c r="K366" i="1"/>
  <c r="U428" i="1" s="1"/>
  <c r="V428" i="1" s="1"/>
  <c r="N365" i="1" l="1"/>
  <c r="P365" i="1"/>
  <c r="M365" i="1"/>
  <c r="O365" i="1"/>
  <c r="K365" i="1"/>
  <c r="L365" i="1"/>
  <c r="E1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Alessio Testa</author>
  </authors>
  <commentList>
    <comment ref="P13" authorId="0" shapeId="0" xr:uid="{78287147-22CF-4224-9A8B-B5961F5DC73A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See cell J326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Alessio Testa</author>
  </authors>
  <commentList>
    <comment ref="H9" authorId="0" shapeId="0" xr:uid="{AC6431D4-6802-4D7D-BD84-D182A90E1F87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Rear Elevation to be Common Brick.</t>
        </r>
      </text>
    </comment>
    <comment ref="H24" authorId="0" shapeId="0" xr:uid="{7D4C7268-0614-408B-A37B-021E4A32B971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Purple Facing Brickwork to Ground Floor.</t>
        </r>
      </text>
    </comment>
    <comment ref="H30" authorId="0" shapeId="0" xr:uid="{67232006-0308-4C85-A919-0523BD0581C8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Red Feautre Brick Detailing.</t>
        </r>
      </text>
    </comment>
    <comment ref="I31" authorId="0" shapeId="0" xr:uid="{657CF792-0377-42B6-9782-C64917B4EE80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Painted Brick to Elevation fronting Artist Mews South.</t>
        </r>
      </text>
    </comment>
    <comment ref="E37" authorId="0" shapeId="0" xr:uid="{F1A10458-5864-400D-B500-B0F828EB97A8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Blue Painted Brick to 1st &amp; 2nd Floor.
</t>
        </r>
      </text>
    </comment>
    <comment ref="I41" authorId="0" shapeId="0" xr:uid="{0AA25278-EC64-4010-B229-3C5D507B217A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Exposed Rear Elevation</t>
        </r>
      </text>
    </comment>
    <comment ref="J41" authorId="0" shapeId="0" xr:uid="{BC42DD50-2E98-44E7-BC87-0140AA1352C6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Stucco Render to Ground Floor.</t>
        </r>
      </text>
    </comment>
    <comment ref="I49" authorId="0" shapeId="0" xr:uid="{19567B7F-B467-4107-A97D-38C792F50F4B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Painted Signage on Gable.</t>
        </r>
      </text>
    </comment>
    <comment ref="K56" authorId="0" shapeId="0" xr:uid="{C5D3C8CD-076F-4EFD-AF53-4FAE9376460D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Timber Panelling to Ground Floor.</t>
        </r>
      </text>
    </comment>
    <comment ref="I66" authorId="0" shapeId="0" xr:uid="{8BD190C4-6BA6-4CD8-9EFA-6E2972CE7028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Rear projection in painted brick.
</t>
        </r>
      </text>
    </comment>
    <comment ref="J67" authorId="0" shapeId="0" xr:uid="{2698D514-C39B-4041-9F42-50915BECA041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Stucco Render to Ground Floor.</t>
        </r>
      </text>
    </comment>
    <comment ref="H79" authorId="0" shapeId="0" xr:uid="{13B12246-D095-4757-BAB8-30B0B588C937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Wirecut bricks to be used up against the MSCP.</t>
        </r>
      </text>
    </comment>
    <comment ref="H83" authorId="0" shapeId="0" xr:uid="{DC8BC194-C131-438B-B50B-10A37C262FA5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Wirecut bricks to be used up against the MSCP.</t>
        </r>
      </text>
    </comment>
    <comment ref="J85" authorId="0" shapeId="0" xr:uid="{6BACE38B-446D-4D73-B066-A540D3D5AB45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Stucco Render to Ground Floor.</t>
        </r>
      </text>
    </comment>
    <comment ref="H87" authorId="0" shapeId="0" xr:uid="{659AAF31-B3C1-4D91-AA3C-C214B63C5454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Wirecut bricks to be used up against the MSCP.</t>
        </r>
      </text>
    </comment>
    <comment ref="K101" authorId="0" shapeId="0" xr:uid="{CEEF34D4-E4A3-4CDD-8A48-8E6B2BF42167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109" authorId="0" shapeId="0" xr:uid="{CC7196A9-B499-4243-B9CA-6EFABE8C4639}">
      <text>
        <r>
          <rPr>
            <b/>
            <sz val="9"/>
            <color indexed="81"/>
            <rFont val="Tahoma"/>
            <charset val="1"/>
          </rPr>
          <t>Alessio Testa:</t>
        </r>
      </text>
    </comment>
    <comment ref="K110" authorId="0" shapeId="0" xr:uid="{F8921744-7EC6-4AD4-9D93-D26716660352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Timber Detailing to Ground Floor.</t>
        </r>
      </text>
    </comment>
    <comment ref="K112" authorId="0" shapeId="0" xr:uid="{388A18CF-3406-402F-893D-FA35FAB61636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Timber Detailing to Ground Floor.</t>
        </r>
      </text>
    </comment>
    <comment ref="J114" authorId="0" shapeId="0" xr:uid="{A03E63F6-8712-4CE5-881B-ED53E4075E0F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Stucco Render to Ground Floor.
</t>
        </r>
      </text>
    </comment>
    <comment ref="J115" authorId="0" shapeId="0" xr:uid="{31AF68E2-E0C3-4855-B168-1330913B743A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Stucco Render to Ground Floor.
</t>
        </r>
      </text>
    </comment>
    <comment ref="I122" authorId="0" shapeId="0" xr:uid="{F613D41B-28C4-4B51-B9FD-0E513785A41D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Painted Brick faacing 'The Catherine Wheel'</t>
        </r>
      </text>
    </comment>
    <comment ref="I136" authorId="0" shapeId="0" xr:uid="{CFA298D2-B069-4177-A2F4-0BE46B52A07B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Single Storey Element </t>
        </r>
      </text>
    </comment>
    <comment ref="K137" authorId="0" shapeId="0" xr:uid="{2A42E145-21DB-45A6-893D-781B2D3A6D7B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Timber Detailing to Ground Floor.</t>
        </r>
      </text>
    </comment>
    <comment ref="K147" authorId="0" shapeId="0" xr:uid="{3970F8F1-4EDA-4EDE-ABD3-B7CC302D516F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Timber Detailing to Ground Floor.</t>
        </r>
      </text>
    </comment>
    <comment ref="K148" authorId="0" shapeId="0" xr:uid="{8F815816-3563-4A15-889B-56B7CB9C5936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Timber Detailing to Ground Floor.
</t>
        </r>
      </text>
    </comment>
    <comment ref="K162" authorId="0" shapeId="0" xr:uid="{E92A4A7B-91F8-4D6E-B7C0-ED8842B01998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Timber Detailing to Ground Floor.</t>
        </r>
      </text>
    </comment>
    <comment ref="K163" authorId="0" shapeId="0" xr:uid="{04AB3241-600F-460A-956C-7E2302E8430E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Timber Detailing to Ground Floor.</t>
        </r>
      </text>
    </comment>
    <comment ref="K165" authorId="0" shapeId="0" xr:uid="{342886DB-2EE4-4641-8D64-4DE7035E6F20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Timber Detailing to Ground Floor.</t>
        </r>
      </text>
    </comment>
    <comment ref="H169" authorId="0" shapeId="0" xr:uid="{19A7E2F5-FA5A-4124-A7AD-BCCE9468C408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Purple/grey Brick to Ground Floor.
</t>
        </r>
      </text>
    </comment>
    <comment ref="K169" authorId="0" shapeId="0" xr:uid="{ABC77296-EA17-4187-9CD1-0229BEB58AA4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Timber Detailing to Ground Floor.</t>
        </r>
      </text>
    </comment>
    <comment ref="J172" authorId="0" shapeId="0" xr:uid="{0BA1F2FB-C986-453A-A4D7-97134DC35325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Stucco Render to Ground Floor.</t>
        </r>
      </text>
    </comment>
    <comment ref="J190" authorId="0" shapeId="0" xr:uid="{77058151-2678-45FA-9326-B2C5EF83A25B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Stucco Render to Ground Floor.</t>
        </r>
      </text>
    </comment>
    <comment ref="H193" authorId="0" shapeId="0" xr:uid="{D283554E-2863-4D93-9A25-198F3CBD2FB2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Grey/ buff brick to Ground Floor.</t>
        </r>
      </text>
    </comment>
    <comment ref="D194" authorId="0" shapeId="0" xr:uid="{C452C8EF-2C19-4752-8DC7-A68373950998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Wirecut brick on unexposed elevation against vue cinema.</t>
        </r>
      </text>
    </comment>
    <comment ref="E195" authorId="0" shapeId="0" xr:uid="{BBD5315B-A174-4B0F-9F17-512C7089E0ED}">
      <text>
        <r>
          <rPr>
            <b/>
            <sz val="9"/>
            <color indexed="81"/>
            <rFont val="Tahoma"/>
            <family val="2"/>
          </rPr>
          <t>Alessio Testa:</t>
        </r>
        <r>
          <rPr>
            <sz val="9"/>
            <color indexed="81"/>
            <rFont val="Tahoma"/>
            <family val="2"/>
          </rPr>
          <t xml:space="preserve">
Wirecut brick on unexposed elevation facing vue cinema.</t>
        </r>
      </text>
    </comment>
    <comment ref="H223" authorId="0" shapeId="0" xr:uid="{B096689D-45C0-47B2-8A62-9ECAF3A849E9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Feature Orange/red brick panels above ground floor.</t>
        </r>
      </text>
    </comment>
    <comment ref="J223" authorId="0" shapeId="0" xr:uid="{3C1DEC90-ED96-4B0A-89F8-EE5127B36A33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Stucco Render to Ground Floor.</t>
        </r>
      </text>
    </comment>
    <comment ref="H235" authorId="0" shapeId="0" xr:uid="{60B8771F-7551-4F0E-B27C-695BF46870F7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Wirecut brick to rear elevation fronting the MSCP.</t>
        </r>
      </text>
    </comment>
    <comment ref="J309" authorId="0" shapeId="0" xr:uid="{6BC85FA5-8820-484F-83FA-AEF0B56F8DD7}">
      <text>
        <r>
          <rPr>
            <b/>
            <sz val="9"/>
            <color indexed="81"/>
            <rFont val="Tahoma"/>
            <charset val="1"/>
          </rPr>
          <t>Alessio Testa:</t>
        </r>
        <r>
          <rPr>
            <sz val="9"/>
            <color indexed="81"/>
            <rFont val="Tahoma"/>
            <charset val="1"/>
          </rPr>
          <t xml:space="preserve">
Stucco Render to Ground Floor.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<sst xmlns="http://schemas.openxmlformats.org/spreadsheetml/2006/main" count="6984" uniqueCount="770">
  <si>
    <t>Plot No:</t>
  </si>
  <si>
    <t>Parking On-Plot:</t>
  </si>
  <si>
    <t>Beds</t>
  </si>
  <si>
    <t>Duplex Maisonette:</t>
  </si>
  <si>
    <t>Sqm.</t>
  </si>
  <si>
    <t>Grand Total No of Plots:</t>
  </si>
  <si>
    <t>Total GIA (sq.m.):</t>
  </si>
  <si>
    <t>Grand Total (sq.ft.):</t>
  </si>
  <si>
    <t>Y</t>
  </si>
  <si>
    <t>Retail 1</t>
  </si>
  <si>
    <t>Retail 2</t>
  </si>
  <si>
    <t>Retail 3</t>
  </si>
  <si>
    <t>Retail 4</t>
  </si>
  <si>
    <t>Retail 5</t>
  </si>
  <si>
    <t>Concierge</t>
  </si>
  <si>
    <t>House</t>
  </si>
  <si>
    <t>Duplex Flat</t>
  </si>
  <si>
    <t>Flat</t>
  </si>
  <si>
    <t>Sqft.</t>
  </si>
  <si>
    <t>Artist Mews</t>
  </si>
  <si>
    <t>Crown Court</t>
  </si>
  <si>
    <t>Falkland Place</t>
  </si>
  <si>
    <t>Smith's Yard</t>
  </si>
  <si>
    <t>Alma Court</t>
  </si>
  <si>
    <t>Victoria &amp; Edward House</t>
  </si>
  <si>
    <t>Plenty's Place</t>
  </si>
  <si>
    <t>Iron Yard</t>
  </si>
  <si>
    <t>Gross GIA (GSHP, Bin Stores, Cycle Stores, Stair Cores)  Excludes the Exisiting ESS</t>
  </si>
  <si>
    <t>1B</t>
  </si>
  <si>
    <t>2B</t>
  </si>
  <si>
    <t>3B</t>
  </si>
  <si>
    <t>Garages</t>
  </si>
  <si>
    <t>Cycle Stores</t>
  </si>
  <si>
    <t>GSHP Plant Rooms</t>
  </si>
  <si>
    <t>Stair Cores &amp; Communal Areas</t>
  </si>
  <si>
    <t>Roof Terrace Area</t>
  </si>
  <si>
    <t>TOTAL</t>
  </si>
  <si>
    <t>Kennet Old Town, Newbury - Residential Scheme (19401)</t>
  </si>
  <si>
    <t>Total Commercial</t>
  </si>
  <si>
    <t>Balconies</t>
  </si>
  <si>
    <t>Total Plots</t>
  </si>
  <si>
    <t>Total Sqm.</t>
  </si>
  <si>
    <t>Total Sqft.</t>
  </si>
  <si>
    <t>Court Yard Name:</t>
  </si>
  <si>
    <t>Eagle Yard</t>
  </si>
  <si>
    <t>Plentys Place &amp; Smiths Yard</t>
  </si>
  <si>
    <t>Edward House</t>
  </si>
  <si>
    <t>Sub-Total</t>
  </si>
  <si>
    <t>Chestnut House</t>
  </si>
  <si>
    <t>Vicotria House</t>
  </si>
  <si>
    <t>Summary Table</t>
  </si>
  <si>
    <t>Duplex Maisonette</t>
  </si>
  <si>
    <t>Total</t>
  </si>
  <si>
    <t>Iron Yard Summary Table</t>
  </si>
  <si>
    <t>DM</t>
  </si>
  <si>
    <t>DF</t>
  </si>
  <si>
    <t>F</t>
  </si>
  <si>
    <t>Victoria House Summary Table</t>
  </si>
  <si>
    <t>Chestnut House Summary Table</t>
  </si>
  <si>
    <t>Edward House Summary Table</t>
  </si>
  <si>
    <t>H</t>
  </si>
  <si>
    <t>Amenity</t>
  </si>
  <si>
    <t>4B</t>
  </si>
  <si>
    <t>Roof Terrace</t>
  </si>
  <si>
    <t>Frontage Amenity</t>
  </si>
  <si>
    <t>Community Amenity</t>
  </si>
  <si>
    <t>Balcony</t>
  </si>
  <si>
    <t>Shared Garden</t>
  </si>
  <si>
    <t>Amenity Summary</t>
  </si>
  <si>
    <t>Number of Plots</t>
  </si>
  <si>
    <t>Type of Amenity</t>
  </si>
  <si>
    <t>Maisonette/ Duplex Maisonette:</t>
  </si>
  <si>
    <t>Number of Beds:</t>
  </si>
  <si>
    <t>Single Family Split</t>
  </si>
  <si>
    <t>Average Unit Size Sqm.</t>
  </si>
  <si>
    <t>GRAND TOTAL:</t>
  </si>
  <si>
    <t>AVE. UNIT SIZE (sq.ft):</t>
  </si>
  <si>
    <t>-</t>
  </si>
  <si>
    <t>M/DM</t>
  </si>
  <si>
    <t>Average Unit Size Sqft.</t>
  </si>
  <si>
    <t>Revised Single Family Summary Table</t>
  </si>
  <si>
    <t>Multi Family Split</t>
  </si>
  <si>
    <t>Revised Multi Family Summary Table</t>
  </si>
  <si>
    <t>Total Number of Dwellings</t>
  </si>
  <si>
    <t xml:space="preserve"> Old Town, Newbury - Residential Scheme (19401)</t>
  </si>
  <si>
    <t>Proposed Average Unit Size</t>
  </si>
  <si>
    <t>Bin Stores</t>
  </si>
  <si>
    <t>Alma Court &amp; Ashton Court</t>
  </si>
  <si>
    <t>Courtyard</t>
  </si>
  <si>
    <t>Artist Mews &amp; Eagle Yard</t>
  </si>
  <si>
    <t>Misc.</t>
  </si>
  <si>
    <t>Number of Lifts</t>
  </si>
  <si>
    <t>Old Town, Newbury - Residential Scheme (19401)</t>
  </si>
  <si>
    <t>Total (Sqm)</t>
  </si>
  <si>
    <t>Parking Spaces</t>
  </si>
  <si>
    <t>Cycle Parking</t>
  </si>
  <si>
    <t>Parking in Garage</t>
  </si>
  <si>
    <t>Total Car Parking</t>
  </si>
  <si>
    <t>Total Cycle Parking</t>
  </si>
  <si>
    <t>Sub-total</t>
  </si>
  <si>
    <t>Cycle Parking in Car Park</t>
  </si>
  <si>
    <t>Required Cycle Parking</t>
  </si>
  <si>
    <t>(1B =1 per Unit | 2B+ = 2 Per Unit)</t>
  </si>
  <si>
    <t>Vicotria Court &amp; Edward House</t>
  </si>
  <si>
    <t>Difference</t>
  </si>
  <si>
    <t>H/L</t>
  </si>
  <si>
    <t>Number of 1B</t>
  </si>
  <si>
    <t>Number of 2B+</t>
  </si>
  <si>
    <t>Required No. Bikes</t>
  </si>
  <si>
    <t>Total Units</t>
  </si>
  <si>
    <t>Total Difference</t>
  </si>
  <si>
    <t>Sub-Total Difference</t>
  </si>
  <si>
    <t>Total (Sqft)</t>
  </si>
  <si>
    <t>212A</t>
  </si>
  <si>
    <t>Area of External Staircase and Walkway Access</t>
  </si>
  <si>
    <t>Total Resi GIA (sq.m.):</t>
  </si>
  <si>
    <t>Grand Total Resi, Retail &amp; Consierge GIA (sq.m):</t>
  </si>
  <si>
    <t>Grand Total Resi, Retail &amp; Consierge GIA (sq.ft.):</t>
  </si>
  <si>
    <t>Artist's Mews</t>
  </si>
  <si>
    <t>Plenty's Place &amp; Smith's Yard</t>
  </si>
  <si>
    <t xml:space="preserve">Plenty's Place </t>
  </si>
  <si>
    <t>Ashton Thicket &amp; Ashton Court</t>
  </si>
  <si>
    <t>Edward House &amp; Victoria Court</t>
  </si>
  <si>
    <t>Ashton Court &amp; Ashton Thicket</t>
  </si>
  <si>
    <t>Location:</t>
  </si>
  <si>
    <t>Tenure:</t>
  </si>
  <si>
    <t>Flats</t>
  </si>
  <si>
    <t>https://www.westberks.gov.uk/media/38132/Chapter-9-Development-Management-Policies-Parking-Policy/pdf/Development_Management_Policies_-_Parking_Policy.pdf?m=636662941574200000</t>
  </si>
  <si>
    <t>Homes</t>
  </si>
  <si>
    <t>3B+</t>
  </si>
  <si>
    <t>Vistors (1 per 5 Flats)</t>
  </si>
  <si>
    <t>Standard Per Unit (Zone 1)</t>
  </si>
  <si>
    <t>Required Parking Spaces</t>
  </si>
  <si>
    <t>No of Beds.</t>
  </si>
  <si>
    <t>No. Units</t>
  </si>
  <si>
    <t>Required Sub-total (Exc. Vistors)</t>
  </si>
  <si>
    <t>Total Required No. Parking Spaces Required (Inc. Vistors)</t>
  </si>
  <si>
    <t xml:space="preserve"> Car Parking Compliance</t>
  </si>
  <si>
    <t>Car Parking (Exc. Garages)</t>
  </si>
  <si>
    <t>Semi-basement</t>
  </si>
  <si>
    <t>Ground Floor</t>
  </si>
  <si>
    <t>First Floor</t>
  </si>
  <si>
    <t>Second Floor</t>
  </si>
  <si>
    <t>Third Floor</t>
  </si>
  <si>
    <t>Fourth Floor</t>
  </si>
  <si>
    <t>Fifth Floor</t>
  </si>
  <si>
    <t>Sixth Floor</t>
  </si>
  <si>
    <t>Primary Semi-private Amenity Space</t>
  </si>
  <si>
    <t>Private Garden/Courtyard</t>
  </si>
  <si>
    <t>Community Garden</t>
  </si>
  <si>
    <t>Enclosed Frontage Amenity Spill-out Space</t>
  </si>
  <si>
    <t>Public Amenity Value</t>
  </si>
  <si>
    <t>Public Frontage Amenity</t>
  </si>
  <si>
    <t>Mews Main Route</t>
  </si>
  <si>
    <t>Private Balcony</t>
  </si>
  <si>
    <t>Shared Walkway Balcony</t>
  </si>
  <si>
    <t>Community Hub Roof Garden</t>
  </si>
  <si>
    <t>Amenity Area By Floor (sqm)</t>
  </si>
  <si>
    <t>Total Sqm</t>
  </si>
  <si>
    <t>Private Front Garden</t>
  </si>
  <si>
    <t>Private Rear Garden</t>
  </si>
  <si>
    <t>All Retail &amp; Conceirge to White Box Standard &amp; includes Aircon.</t>
  </si>
  <si>
    <t>Concierge, Kitchenette, Parcel Room, Meeting Room, Gym</t>
  </si>
  <si>
    <t>Study.</t>
  </si>
  <si>
    <t>Single Storey</t>
  </si>
  <si>
    <t>Storey's.</t>
  </si>
  <si>
    <t>Two Storey's</t>
  </si>
  <si>
    <t>Three Storey's</t>
  </si>
  <si>
    <t>Four Storey's</t>
  </si>
  <si>
    <t>Number of Storey's</t>
  </si>
  <si>
    <t>Storey Height Summary</t>
  </si>
  <si>
    <t>Gross</t>
  </si>
  <si>
    <t>Net</t>
  </si>
  <si>
    <t>Unit Type:</t>
  </si>
  <si>
    <t>Coach House.</t>
  </si>
  <si>
    <t>Shared Roof Terrace</t>
  </si>
  <si>
    <t>Definition of a House (Old town Scheme)</t>
  </si>
  <si>
    <t>Definition of a Coach House (Old town Scheme)</t>
  </si>
  <si>
    <t>Dwelling with built form over a drive through.</t>
  </si>
  <si>
    <t>Dwelling with atleast a W.C on the ground floor,</t>
  </si>
  <si>
    <t>Dwelling with a private access on the ground floor,</t>
  </si>
  <si>
    <t>Dwelling with a private access on any floor,</t>
  </si>
  <si>
    <t>Definition of a Duplex Maisonette (Old town Scheme)</t>
  </si>
  <si>
    <t>Single storey dwelling.</t>
  </si>
  <si>
    <t>Definition of a Maisonette (Old town Scheme)</t>
  </si>
  <si>
    <t>Multi storey dwelling.</t>
  </si>
  <si>
    <t>Definition of a Flat (Old town Scheme)</t>
  </si>
  <si>
    <t>Dwelling with a Communal access on any floor,</t>
  </si>
  <si>
    <t>Dwelling with another dwelling or retail unit above or below it,</t>
  </si>
  <si>
    <t>Dwelling with no other dwelling or retail unit above or below it,</t>
  </si>
  <si>
    <t>Dwelling with no other dwelling or retail unit above or below it.</t>
  </si>
  <si>
    <t>Definition of a Duplex Flat (Old town Scheme)</t>
  </si>
  <si>
    <t>CH</t>
  </si>
  <si>
    <t>Approved Scheme'</t>
  </si>
  <si>
    <t>Proposed Scheme</t>
  </si>
  <si>
    <t>Units</t>
  </si>
  <si>
    <t>Bed Spaces</t>
  </si>
  <si>
    <t>3% Difference</t>
  </si>
  <si>
    <t>26% less</t>
  </si>
  <si>
    <t>Public Mother and Child Parking Spaces</t>
  </si>
  <si>
    <t>Public Parking Spaces</t>
  </si>
  <si>
    <t>Private Parking Spaces</t>
  </si>
  <si>
    <t>Public Disabled Parking Spaces</t>
  </si>
  <si>
    <t>Public EV Charging Spaces</t>
  </si>
  <si>
    <t>GF</t>
  </si>
  <si>
    <t>FF</t>
  </si>
  <si>
    <t>SF</t>
  </si>
  <si>
    <t>TF</t>
  </si>
  <si>
    <t>All Retail to White Box Standard &amp; includes Aircon.</t>
  </si>
  <si>
    <t xml:space="preserve"> Unit V1 - Vacant</t>
  </si>
  <si>
    <t xml:space="preserve"> Unit V2 - Vacant</t>
  </si>
  <si>
    <t xml:space="preserve"> Unit V3 - Nando's</t>
  </si>
  <si>
    <t xml:space="preserve"> Unit V4 - Kung Fu</t>
  </si>
  <si>
    <t>Vue Cinema - Approximate</t>
  </si>
  <si>
    <t>Side Amenity</t>
  </si>
  <si>
    <t>Shared Amenity</t>
  </si>
  <si>
    <t>Total Sqft</t>
  </si>
  <si>
    <t>Amenity Area By Floor (sqft)</t>
  </si>
  <si>
    <t>*-</t>
  </si>
  <si>
    <t>Vue Cinema</t>
  </si>
  <si>
    <t>Secondary Semi-private Amenity</t>
  </si>
  <si>
    <t>Building/ Area</t>
  </si>
  <si>
    <t>GIA - PROPOSED</t>
  </si>
  <si>
    <t>GIA - EXISTING</t>
  </si>
  <si>
    <t xml:space="preserve">Concierge </t>
  </si>
  <si>
    <t>Stair Cores and Communal Areas</t>
  </si>
  <si>
    <t xml:space="preserve">Bin Stores </t>
  </si>
  <si>
    <t>Cinema</t>
  </si>
  <si>
    <t>Restaurant</t>
  </si>
  <si>
    <t>Total Residential</t>
  </si>
  <si>
    <t>Cinema - WORKS TO EXISTING</t>
  </si>
  <si>
    <t>Cinema -  EXISTING</t>
  </si>
  <si>
    <t xml:space="preserve">Total proposed retail </t>
  </si>
  <si>
    <t>Communal Corridors</t>
  </si>
  <si>
    <t>Plant Rooms</t>
  </si>
  <si>
    <t>Service Route</t>
  </si>
  <si>
    <t>Stores</t>
  </si>
  <si>
    <t xml:space="preserve">Ground Floor </t>
  </si>
  <si>
    <t>Level 1</t>
  </si>
  <si>
    <t>Level 2</t>
  </si>
  <si>
    <t>Restaurant -  EXISTING</t>
  </si>
  <si>
    <t>Restaurant - WORKS TO EXISTING</t>
  </si>
  <si>
    <t>sq.ft</t>
  </si>
  <si>
    <t>sq.m</t>
  </si>
  <si>
    <t>Existing GIA</t>
  </si>
  <si>
    <t>Proposed GIA</t>
  </si>
  <si>
    <t>Multi Storey Car Park</t>
  </si>
  <si>
    <t xml:space="preserve">First Floor </t>
  </si>
  <si>
    <t xml:space="preserve">Third Floor </t>
  </si>
  <si>
    <t>Ground Floor Vue Cinema Works To Existing (Breakdown)</t>
  </si>
  <si>
    <t>Vue Cinema Complete Area</t>
  </si>
  <si>
    <t>1B Studio</t>
  </si>
  <si>
    <t>M</t>
  </si>
  <si>
    <t>Total Residential (Inc. Ancillaries)</t>
  </si>
  <si>
    <t>(ii)</t>
  </si>
  <si>
    <t>(iii)</t>
  </si>
  <si>
    <t>(iv)</t>
  </si>
  <si>
    <t>Total Non Residential</t>
  </si>
  <si>
    <t>Exisiting Commercial</t>
  </si>
  <si>
    <t>Non-resi</t>
  </si>
  <si>
    <t>Total non resi</t>
  </si>
  <si>
    <t>Gross Internal Area to be Retained</t>
  </si>
  <si>
    <t>Gross internal area to be demolished</t>
  </si>
  <si>
    <t>Site GIA</t>
  </si>
  <si>
    <t>Grand Total</t>
  </si>
  <si>
    <t>V1</t>
  </si>
  <si>
    <t>V2</t>
  </si>
  <si>
    <t xml:space="preserve">Exisiting </t>
  </si>
  <si>
    <t>Proposed</t>
  </si>
  <si>
    <t>Sq.ft</t>
  </si>
  <si>
    <t>Sq.m</t>
  </si>
  <si>
    <t>Total Length (m):</t>
  </si>
  <si>
    <t>Plentys Place</t>
  </si>
  <si>
    <t>Smiths Yard</t>
  </si>
  <si>
    <t>0.6m High R1</t>
  </si>
  <si>
    <t>1.1m High R1</t>
  </si>
  <si>
    <t>0.6m High R2</t>
  </si>
  <si>
    <t>1.1m High R2</t>
  </si>
  <si>
    <t>0.6m High R3</t>
  </si>
  <si>
    <t>1.1m High R3</t>
  </si>
  <si>
    <t>0.6m High R4</t>
  </si>
  <si>
    <t>1.1m High R4</t>
  </si>
  <si>
    <t>0.6m High R5</t>
  </si>
  <si>
    <t>1.1m High R5</t>
  </si>
  <si>
    <t>0.6m High R6</t>
  </si>
  <si>
    <t>1.1m High R6</t>
  </si>
  <si>
    <t>0.6m High R7</t>
  </si>
  <si>
    <t>1.1m High R7</t>
  </si>
  <si>
    <t>0.6m High R8</t>
  </si>
  <si>
    <t>1.1m High R8</t>
  </si>
  <si>
    <t>0.6m High R9</t>
  </si>
  <si>
    <t>1.1m High R9</t>
  </si>
  <si>
    <t>Total:</t>
  </si>
  <si>
    <t>Railing Schedule: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</si>
  <si>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</si>
  <si>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</si>
  <si>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</si>
  <si>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</si>
  <si>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</si>
  <si>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</si>
  <si>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</si>
  <si>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</si>
  <si>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</si>
  <si>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</si>
  <si>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</si>
  <si>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Lantern Design 1</t>
  </si>
  <si>
    <t>Lantern Design 2</t>
  </si>
  <si>
    <t>Lantern Design 3</t>
  </si>
  <si>
    <t>Lantern Design 4</t>
  </si>
  <si>
    <t>Lantern Design 5</t>
  </si>
  <si>
    <t>Ornamental S Ironwork</t>
  </si>
  <si>
    <t>Alma Court, Ashton Ticket &amp; Ashton Court</t>
  </si>
  <si>
    <t>Victoria Court &amp; Edward House</t>
  </si>
  <si>
    <t>Locked Gate</t>
  </si>
  <si>
    <t>Locked Park Court Gate</t>
  </si>
  <si>
    <t>Ironmongery Schedule:</t>
  </si>
  <si>
    <t>Amenity per dwelling</t>
  </si>
  <si>
    <t>Amenity Accounted *</t>
  </si>
  <si>
    <t>* Columns included hatched in grey.</t>
  </si>
  <si>
    <t>Private Gated Multi-functional Amenity Space</t>
  </si>
  <si>
    <t>Coach House</t>
  </si>
  <si>
    <t>Total Residential GIA (sq.ft.):</t>
  </si>
  <si>
    <t>Total Proposed Commercial &amp; Concierge (sq.ft.):</t>
  </si>
  <si>
    <t>Total Gross (sq.ft.): Noted within Table 2.</t>
  </si>
  <si>
    <t xml:space="preserve">Total Amended Exisiting Commercial Floorspace (V1,V2, Nando's Kung Fu and Vue Cinema) Gross: </t>
  </si>
  <si>
    <t>Commercial - Retail 1-5</t>
  </si>
  <si>
    <t>Retail</t>
  </si>
  <si>
    <t>Super Total Residential &amp; Commerical GIA &amp; Gross (sq.ft.):</t>
  </si>
  <si>
    <t>Area per Category</t>
  </si>
  <si>
    <t>Enclosed Frontage Spill-out Space</t>
  </si>
  <si>
    <t>Typology:</t>
  </si>
  <si>
    <t>Internal GIA:</t>
  </si>
  <si>
    <t>Accommodation:</t>
  </si>
  <si>
    <t>Storeys:</t>
  </si>
  <si>
    <t>Car Parking:</t>
  </si>
  <si>
    <t>Private Amenity Sqft:</t>
  </si>
  <si>
    <t>sq.m:</t>
  </si>
  <si>
    <t>sq.ft:</t>
  </si>
  <si>
    <t>Artist's Mews (North)</t>
  </si>
  <si>
    <t>Artist's Mews ( South)</t>
  </si>
  <si>
    <t>Ashton Court &amp; Ashton Ticket</t>
  </si>
  <si>
    <t>General</t>
  </si>
  <si>
    <t>Maisonette</t>
  </si>
  <si>
    <t>2B3P</t>
  </si>
  <si>
    <t>3B4P</t>
  </si>
  <si>
    <t>2B4P</t>
  </si>
  <si>
    <t>4B7P</t>
  </si>
  <si>
    <t>1B2P</t>
  </si>
  <si>
    <t>3B5P</t>
  </si>
  <si>
    <t>4B6P</t>
  </si>
  <si>
    <t>4B5P</t>
  </si>
  <si>
    <t>4B8P</t>
  </si>
  <si>
    <t>3B6P</t>
  </si>
  <si>
    <t xml:space="preserve"> Old Town, Newbury </t>
  </si>
  <si>
    <t>Study</t>
  </si>
  <si>
    <t>Amenity Type:</t>
  </si>
  <si>
    <t>Garage Parking space.</t>
  </si>
  <si>
    <t>On-plot Allocated Parking</t>
  </si>
  <si>
    <t>On-site within MSCP</t>
  </si>
  <si>
    <t>EoT First Floor DM</t>
  </si>
  <si>
    <t>Semi-Detached First Floor DM</t>
  </si>
  <si>
    <t>EoT House</t>
  </si>
  <si>
    <t>MT House</t>
  </si>
  <si>
    <t>Specific Typology</t>
  </si>
  <si>
    <t>MT First Floor DM</t>
  </si>
  <si>
    <t>Semi-Detached House</t>
  </si>
  <si>
    <t>Detached House</t>
  </si>
  <si>
    <t>MT Coach House</t>
  </si>
  <si>
    <t>GF DM</t>
  </si>
  <si>
    <t>SF DM</t>
  </si>
  <si>
    <t>GF M</t>
  </si>
  <si>
    <t>FF F</t>
  </si>
  <si>
    <t>SF F</t>
  </si>
  <si>
    <t>SF DF</t>
  </si>
  <si>
    <t>TF F</t>
  </si>
  <si>
    <t>4F F</t>
  </si>
  <si>
    <t>5F F</t>
  </si>
  <si>
    <t>FF DF</t>
  </si>
  <si>
    <t>MT FF DM</t>
  </si>
  <si>
    <t>EoT FF DM</t>
  </si>
  <si>
    <t>EoT GF DM</t>
  </si>
  <si>
    <t>FF DM</t>
  </si>
  <si>
    <t>MT GF DM</t>
  </si>
  <si>
    <t>EoT GF M</t>
  </si>
  <si>
    <t>FF EoT DM</t>
  </si>
  <si>
    <t>SF MT M</t>
  </si>
  <si>
    <t>SF MT DM</t>
  </si>
  <si>
    <t>GF F</t>
  </si>
  <si>
    <t>TF DF</t>
  </si>
  <si>
    <t>GF DF</t>
  </si>
  <si>
    <t>FF M</t>
  </si>
  <si>
    <t>Total Private Amenity (sq.ft)</t>
  </si>
  <si>
    <t>Total Refurbished/Exisiting Commercial (Sq.ft)</t>
  </si>
  <si>
    <t>Commercial</t>
  </si>
  <si>
    <t>Residential</t>
  </si>
  <si>
    <t>Plot By Plot</t>
  </si>
  <si>
    <t>Summary Tables</t>
  </si>
  <si>
    <t>Proposed Commercial</t>
  </si>
  <si>
    <t>General Typology Summary</t>
  </si>
  <si>
    <t>Gross Area's</t>
  </si>
  <si>
    <t>EoT</t>
  </si>
  <si>
    <t>MT</t>
  </si>
  <si>
    <t>Detached</t>
  </si>
  <si>
    <t>Semi-detached</t>
  </si>
  <si>
    <t>Houses</t>
  </si>
  <si>
    <t>Total Residential GIA Coverage (sq.ft)</t>
  </si>
  <si>
    <t>Vacant and Refurbished Commercial</t>
  </si>
  <si>
    <t xml:space="preserve">Vacant </t>
  </si>
  <si>
    <t>(Excluding 8 integral Garages equating to 1841.7sq.ft).</t>
  </si>
  <si>
    <t xml:space="preserve">All Retail to White Box Standard &amp; includes Aircon.  </t>
  </si>
  <si>
    <t>Concierge to include: Kitchenette, Parcel Room, Meeting Room, Gym</t>
  </si>
  <si>
    <t>Sub-total Proposed GIA Commercial (Sq.ft)</t>
  </si>
  <si>
    <t>Old Town Total Coverage (Sq.ft) (Residential + Proposed Commercial+ Concierge)</t>
  </si>
  <si>
    <t>GIA Area's</t>
  </si>
  <si>
    <t>TOTAL GIA</t>
  </si>
  <si>
    <t>Gross Area</t>
  </si>
  <si>
    <t>(sq.m)</t>
  </si>
  <si>
    <t>(sq.ft)</t>
  </si>
  <si>
    <t>Residential Gross Area</t>
  </si>
  <si>
    <t>Old Town Total Gross (Sq.ft) (Residential + Proposed Commercial+ Concierge)</t>
  </si>
  <si>
    <t>Residential Gross + GIA</t>
  </si>
  <si>
    <t xml:space="preserve"> Residential Gross Area </t>
  </si>
  <si>
    <t>Garages (total of 8)</t>
  </si>
  <si>
    <t>P l o t - b y - P l o t   D w e l l I n g   I n f o r m a t i o n .</t>
  </si>
  <si>
    <t>Dated: November 2025</t>
  </si>
  <si>
    <t>Amenity:</t>
  </si>
  <si>
    <t>Description:</t>
  </si>
  <si>
    <t>Opportunity to rent/purchase a space in the on-site MSCP.</t>
  </si>
  <si>
    <t>Private Roof Terrace and access to shared private courtyard.</t>
  </si>
  <si>
    <t>South facing roof terrace, fenestration overlooking Bartholomew Street.</t>
  </si>
  <si>
    <t>1 Allocated space on Site in Victoria Court.</t>
  </si>
  <si>
    <t>Frontage Amenity and access to shared private courtyard.</t>
  </si>
  <si>
    <t>South facing fenestration overlooking the shared private courtyard.</t>
  </si>
  <si>
    <t>En-suite to Bedroom 1. South facing fenestration overlooking the shared private courtyard.</t>
  </si>
  <si>
    <t>Private Front Garden and access to shared private courtyard.</t>
  </si>
  <si>
    <t>Seterate Study. Fenestration overlooking the shared private courtyard.</t>
  </si>
  <si>
    <t>Separate Study. South facing fenestration overlooking the shared private courtyard.</t>
  </si>
  <si>
    <t>Private Roof Terrace, private Front Garden and access to shared private courtyard.</t>
  </si>
  <si>
    <t>En-Suite to bedroom 1. South facing fenestration overlooking the shared private courtyard.</t>
  </si>
  <si>
    <t>South facing roof terrace, fenestration overlooking Market Place.</t>
  </si>
  <si>
    <t>Study Area. South facing roof terrace, fenestration overlooking Market Place.</t>
  </si>
  <si>
    <t>Two roof terraces, fenestration overlooking Market Place.</t>
  </si>
  <si>
    <t>Fenestration overlooking the shared private courtyard.</t>
  </si>
  <si>
    <t>Roof terrace and fenestration overlooking the shared private courtyard.</t>
  </si>
  <si>
    <t>Separate Study. Fenestration overlooking the shared private courtyard.</t>
  </si>
  <si>
    <t>Private Roof Terrace, frontage amenity and access to shared private courtyard.</t>
  </si>
  <si>
    <t>Separate Study. Dual fronted overlooking the shared private courtyard.</t>
  </si>
  <si>
    <t>Community Amenity and access to shared private courtyard.</t>
  </si>
  <si>
    <t>Fenestration overlooking Bartholomew Street.</t>
  </si>
  <si>
    <t>Study Area, South facing roof terrace, fenestration overlooking Bartholomew Street.</t>
  </si>
  <si>
    <t>En-suite to bedroom 1, fenestration overlooking Bartholomew Street.</t>
  </si>
  <si>
    <t>Separate Study. En-suites to bedrooms 1 and 2, Dresser to bedroom 1, fenestration overlooking the shared private courtyard.</t>
  </si>
  <si>
    <t>Jack and Jill Bathroom to bedroom 1, fenestration overlooking Bartholomew Street.</t>
  </si>
  <si>
    <t>Jack and Jill Bathroom to bedroom 1, South facing fenestration overlooking the shared private courtyard.</t>
  </si>
  <si>
    <t>Private Balcony and access to shared private courtyard.</t>
  </si>
  <si>
    <t>Dresser to bedroom 1, Fenestration overlooking shared courtyard.</t>
  </si>
  <si>
    <t>Jack and Jill Bathrooms to bedrooms 1 and 2, fenestration overlooking shared private courtyard.</t>
  </si>
  <si>
    <t>Separate Kitchen; Dining/Family Room; Lounge; Study. Fenestration overlooking shared private courtyard.</t>
  </si>
  <si>
    <t>Shared Garden and access to shared private courtyard.</t>
  </si>
  <si>
    <t xml:space="preserve">Jack and Jill Bathroom to Bedroom 1, Study Area. South facing fenestration overlooking shared garden. </t>
  </si>
  <si>
    <t>Private Roof Terrace, Shared Garden and access to shared private courtyard.</t>
  </si>
  <si>
    <t>Jack and Jill Bathroom to Bedroom 1, Study Area. Fenestration overlooking shared private courtyard.</t>
  </si>
  <si>
    <t>Jack and Jill Bathroom to Bedroom 1, fenestration overlooking shared private courtyard.</t>
  </si>
  <si>
    <t>Jack and Jill Bathroom to Bedroom 2, fenestration overlooking the shared private courtyard.</t>
  </si>
  <si>
    <t>En-suite and Dresser to bedroom 1, Study Area. Fenestration overlooking Bartholomew Street.</t>
  </si>
  <si>
    <t>Community Amenity and access to semi private courtyard.</t>
  </si>
  <si>
    <t>Dresser to bedroom 1, fenestration overlooking Bartholomew Street.</t>
  </si>
  <si>
    <t>Jack and Jill Bathroom to bedroom 2, fenestration overlooking Bartholomew Street.</t>
  </si>
  <si>
    <t>Private Roof Terrace and acces to semi private courtyard.</t>
  </si>
  <si>
    <t>Separate Study; Familiy Room. En-suite to bedroom 1, South facing fenestration.</t>
  </si>
  <si>
    <t>Separate Lounge. South facing fenestration.</t>
  </si>
  <si>
    <t>En-suites to bedrooms 1 and 2, Dresser to bedroom 1, South facing fenestration.</t>
  </si>
  <si>
    <t xml:space="preserve">Shared Garden and access to semi private courtyard. </t>
  </si>
  <si>
    <t>En-suite and Dresser to bedroom 1, South facing fenestration.</t>
  </si>
  <si>
    <t>Private Rear Garden and access to semi private courtyard.</t>
  </si>
  <si>
    <t>Study Area. Jack and Jill Bathroom to bedroom 1.</t>
  </si>
  <si>
    <t>1 Allocated on Plot space.</t>
  </si>
  <si>
    <t xml:space="preserve">Reception Room in semi-basement, fenestration overlooking semi private courtyard. </t>
  </si>
  <si>
    <t>Separate Study. En-suite to bedroom 1.</t>
  </si>
  <si>
    <t>Separate Lounge.</t>
  </si>
  <si>
    <t>Study Area. Dresser to bedroom 1, Jack and Jill Bathroom to bedroom 2. Fenestration overlooking Bartholomew Street.</t>
  </si>
  <si>
    <t>Study Area. Jack and Jill Bathroom to bedroom 2, fenestration overlooking Bartholomew Street.</t>
  </si>
  <si>
    <t>Frontage Amenity and access to semi private courtyard.</t>
  </si>
  <si>
    <t>Separate Lounge. Fenestration overlooking Bartholomew Street.</t>
  </si>
  <si>
    <t>Study Area. Daul fronted, fenestration overlooking Bartholomew Street.</t>
  </si>
  <si>
    <t>Study Area. En-suite to bedroom 1, Dresser to bedroom 2. Daul fronted, fenestration overlooking Bartholomew Street.</t>
  </si>
  <si>
    <t>Private Roof Terrace, Frontage Amenity and access to semi private courtyard.</t>
  </si>
  <si>
    <t>Separate Lounge. South facing roof terrace and fenestration.</t>
  </si>
  <si>
    <t>Private Front Garden, Roof Terrace and access to semi private courtyard.</t>
  </si>
  <si>
    <t>Separate Kitchen, Study Area. En-suite to bedroom 1.</t>
  </si>
  <si>
    <t>Jack and Jill Bathroom to bedroom 1.</t>
  </si>
  <si>
    <t>Private Roof Terrace, Private Front Garden and access to semi private courtyard.</t>
  </si>
  <si>
    <t>Separate Study.</t>
  </si>
  <si>
    <t>Private Balcony, Private rear Garden, Private Front Garden and access to semi private courtyard.</t>
  </si>
  <si>
    <t>En-suite to bedroom 1.</t>
  </si>
  <si>
    <t>Private Front Garden and access to semi private courtyard.</t>
  </si>
  <si>
    <t>Jack and Jill Bathroom to bedroom 2.</t>
  </si>
  <si>
    <t>Jack and Jill Bathroom to bedroom 3.</t>
  </si>
  <si>
    <t>Study Area. Fenestration overlooking Bartholomew Street.</t>
  </si>
  <si>
    <t>Jack and Jill bathroom to bedroom 2, fenestration overlooking Bartholomew Street.</t>
  </si>
  <si>
    <t>Separate Lounge with a Study Area. Daul access, fenestration overlooking Bartholomew Street.</t>
  </si>
  <si>
    <t>En-suite to bedroom 1, fenestration overlooking semi private courtyard.</t>
  </si>
  <si>
    <t>Private Balcony, Private Front Garden and access to semi private courtyard.</t>
  </si>
  <si>
    <t>En-suite and Dresser to bedroom 1, fenestration overlooking public main mews street.</t>
  </si>
  <si>
    <t>Private Front and Rear Gardens, and access to semi private courtyard.</t>
  </si>
  <si>
    <t>Separate Study. En-suite to bedroom 1, Jack and Jill Bathroom to bedroom 3, South facing fenestration.</t>
  </si>
  <si>
    <t>Study Area. Jack and Jill Bathrooms to bedrooms 1 and 2, South facing fenestration.</t>
  </si>
  <si>
    <t>Jack and Jill Bathrooms to bedrooms 1 and 2, South facing fenestration.</t>
  </si>
  <si>
    <t>Jack and Jill Bathrooms to bedrooms 1 and 2, South facing fenestration. Study area in lounge.</t>
  </si>
  <si>
    <t>Separate Lounge with Study Area.</t>
  </si>
  <si>
    <t>Frontage and Side Amenity and access to semi private courtyard.</t>
  </si>
  <si>
    <t>Separate Lounge with Study Area. Jack and Jill Shower Room to bedroom 2.</t>
  </si>
  <si>
    <t>Jack and Jill Bathroom to bedroom 2, fenestration overlooking semi private courtyard.</t>
  </si>
  <si>
    <t>Private Roof Terrace, Frontage and Side Amenity and access to semi private courtyard.</t>
  </si>
  <si>
    <t>Jack and Jill Bathroom to bedroom 1, fenestration overlooking semi private courtyard.</t>
  </si>
  <si>
    <t>Private Front Garden, and access to semi private courtyard.</t>
  </si>
  <si>
    <t>Sperate Study; Family Room. En-suites to bedroom 1 and 2, fenestration overlooking semi private courtyard.</t>
  </si>
  <si>
    <t>Garage Packing space.</t>
  </si>
  <si>
    <t xml:space="preserve">South facing roof terrace and fenestration. </t>
  </si>
  <si>
    <t>En-suite to bedroom 1, Jack and Jill Bathroom to bedroom 2.</t>
  </si>
  <si>
    <t>1 Allocated space on Site in Iron Yard.</t>
  </si>
  <si>
    <t>Private Roof Terrace and access to semi private courtyard.</t>
  </si>
  <si>
    <t>Separate Lounge with a Study Area. South facing roof terrace and fenestration overlooking a semi private courtyard.</t>
  </si>
  <si>
    <t>Study Area. En-suite to bedroom 1.</t>
  </si>
  <si>
    <t>Separate Lounge with Study Area. Ensuite to bedroom 1, Jack and Jill Bathroom to bedroom 2.</t>
  </si>
  <si>
    <t>Private Front Garden and access to public main mews street.</t>
  </si>
  <si>
    <t xml:space="preserve">Separate Lounge with Study Area. Jack and Jill Bathroom to bedroom 2, South facing fenestration. </t>
  </si>
  <si>
    <t>Separate Study. En-suite and Dresser to bedroom 1, Dresser to bedroom 2.</t>
  </si>
  <si>
    <t>Jack and Jill Bathroom to bedroom 2, South facing fenestration.</t>
  </si>
  <si>
    <t>Study Area. Jack and Jill Bathroom to bedroom 1, South facing roof terrace and fenestration.</t>
  </si>
  <si>
    <t>Separate Study. En-suite to bedroom 1, Jack and Jill Bathroom to bedroom 2, fenestration overlooking Cheap Street.</t>
  </si>
  <si>
    <t>Private Balconies and access to semi private courtyard.</t>
  </si>
  <si>
    <t>Study Area. Jack and Jill Bathroom to bedroom 1, fenestration overlooking Cheap Street.</t>
  </si>
  <si>
    <t>Study Area. Jack and Jill Bathroom to bedroom 1, South facing roof terrace.</t>
  </si>
  <si>
    <t>En-suite to bedroom 1, South facing fenestration.</t>
  </si>
  <si>
    <t>Jack and Jill Bathrooms to bedrooms 1 and 2, fenestration overlooking semi private courtyard.</t>
  </si>
  <si>
    <t>Jack and Jill Bathroom to bedroom 2, South facing fenestration overlooking semi private courtyard.</t>
  </si>
  <si>
    <t>Jack and Jill Bathroom to bedroom 2, South facing roof terrace and fenestration overlooking semi private courtyard.</t>
  </si>
  <si>
    <t>Private Roof Terrace, Private Balcony and access to semi private courtyard.</t>
  </si>
  <si>
    <t>En-suites to bedrooms 1 and 2, Dresser to bedroom 1, jack and Jill Bathroom to bedroom 3, South facing balcony, fenestration overlooking semi private courtyard.</t>
  </si>
  <si>
    <t>Jack and Jill to bedroom 1, South facing fenestration overlooking semi private courtyard.</t>
  </si>
  <si>
    <t>Private Balcony, Shared Garden and access to semi private courtyard.</t>
  </si>
  <si>
    <t>Study Area. South facing balcony and fenestration overlooking shared garden.</t>
  </si>
  <si>
    <t>Shared Garden and access to semi priavte courtyard.</t>
  </si>
  <si>
    <t>En-suite to bedroom 1, Jack and Jill Bathroom to bedroom 2, South facing fenestration overlooking shared garden.</t>
  </si>
  <si>
    <t>Seperate Study. En-suite to bedroom, fenestration overlooking shared garden.</t>
  </si>
  <si>
    <t>Balcony and accesss to semi private courtyard.</t>
  </si>
  <si>
    <t>Study Area Daul Aspect allowing a lot of light into the plot.</t>
  </si>
  <si>
    <t>Jack and Jill bathroom to bedroom 1, South facing fenestration.</t>
  </si>
  <si>
    <t>Private Roof Terrace and accesss to semi private courtyard.</t>
  </si>
  <si>
    <t>Separate Lounge with Study Area. South facing Roof Terrace, fenestration overlooking Cheap Street.</t>
  </si>
  <si>
    <t>Separate Lounge with Study Area. Fenestration overlooking Cheap Street.</t>
  </si>
  <si>
    <t>Separate Lounge with Study Area. Fenestration overlooking Market place.</t>
  </si>
  <si>
    <t>Separate Lounge with Study Area. Jack and Jill Bathroom to bedroom 2, fenestration overlooking Market Place.</t>
  </si>
  <si>
    <t>Separate Lounge. Jack and Jill Bathroom and Dresser to bedroom 1, fenestration overlooking Market Place.</t>
  </si>
  <si>
    <t>Shared Garden and access to public main mews street.</t>
  </si>
  <si>
    <t>Jack and Jill Bathroom to bedroom 1, fenestration overlooking Cheap Street.</t>
  </si>
  <si>
    <t>Private Balcony and access to public main mews street.</t>
  </si>
  <si>
    <t>Jack and Jill Bathroom to bedroom 1, fenestration overlooking Plenty's Place.</t>
  </si>
  <si>
    <t>Jack and Jill Bathroom to bedroom 2, fenestration overlooking Plenty's Place.</t>
  </si>
  <si>
    <t>Comumunity Amenity and access to public main mews street.</t>
  </si>
  <si>
    <t>Fenestration overlooking Plenty's Place.</t>
  </si>
  <si>
    <t>Private Roof Terrace and access to public main mews street.</t>
  </si>
  <si>
    <t>En-suite to bedroom 1, denestration overlooking Plenty's Place.</t>
  </si>
  <si>
    <t>Study Area. Jack and Jill Bathroom to bedroom 2, fenestration overlooking Plenty's Place.</t>
  </si>
  <si>
    <t>Study Area. Fenestration overlooking Plenty's Place.</t>
  </si>
  <si>
    <t>Private Rear Garden and access to shared private courtyard.</t>
  </si>
  <si>
    <t>South facing Rear Garden. Jack and Jill Bathroom to bedroom 1, fenestration overlooking Plenty's Place.</t>
  </si>
  <si>
    <t>South facing Balcony. Study Area. Jack and Jill Bathroom to bedroom 1, fenestration overlooking Plenty's Place.</t>
  </si>
  <si>
    <t>South facing Balcony. Jack and Jill Bathroom to bedroom 1, fenestration overlooking Plenty's Place.</t>
  </si>
  <si>
    <t>Study Area. Daul Frontage, fenestration overlooking Plenty's Place.</t>
  </si>
  <si>
    <t>Study Area. Jack and Jill Bathroom to bedroom 1, fenestration overlooking Plenty's Place.</t>
  </si>
  <si>
    <t>Private Rear Garden, Frontage Amenity and access to shared private courtyard.</t>
  </si>
  <si>
    <t>Study Area. Daul Fronted fenestration overlooking Plenty's Place and Market Street.</t>
  </si>
  <si>
    <t>Study Area. South facing fenestration overlooking Market Street.</t>
  </si>
  <si>
    <t>South facing fenestration overlooking Market Street.</t>
  </si>
  <si>
    <t>Jack and Jill Bathroom to bedroom 1, fenestration overlooking shared private courtyard.</t>
  </si>
  <si>
    <t>Study Area. Jack and Jill Bathroom to bedroom 1, fenestration overlooking shared private courtyard.</t>
  </si>
  <si>
    <t>Daul Fronted. South facing fenestrtion overlooking Market Street.</t>
  </si>
  <si>
    <t>Daul Fronted. Study Area. Jack and Jill Bathroom to bedroom 1, South facing fenestrtion overlooking Market Street.</t>
  </si>
  <si>
    <t>Private Balcony and access to semi private courtyard.</t>
  </si>
  <si>
    <t xml:space="preserve"> Study Area. Fenestration overlooking Plenty's Place.</t>
  </si>
  <si>
    <t>Daul Fronted. Jack and Jill Bathroom to bedroom 1, South facing fenestrtion overlooking Market Street.</t>
  </si>
  <si>
    <t>Jack and Jill Bathroom to bedroom 1, South facing fenestrtion overlooking Market Street.</t>
  </si>
  <si>
    <t xml:space="preserve"> Study Area. Jack and Jill Bathroom to bedroom 1.</t>
  </si>
  <si>
    <t>Private Balcony.</t>
  </si>
  <si>
    <t xml:space="preserve"> Study Area. Jack and Jill Bathroom to bedroom 1, South facing fenestrtion overlooking Market Street.</t>
  </si>
  <si>
    <t>Jack and Jill Bathroom to bedroom 1, South facing fenestration.</t>
  </si>
  <si>
    <t>Study Area. Jack and Jill Bathroom to bedroom 1, fenestration overlooking semi private courtyard.</t>
  </si>
  <si>
    <t>Separate Study. Jack and Jill Bathroom to bedroom 1, South facing Roof Terrace and fenestration.</t>
  </si>
  <si>
    <t>Separate Study. Jack and Jill Bathroom to bedroom 1, South facing Roof Terrace.</t>
  </si>
  <si>
    <t>Jack and Jill Bathroom to bedroom 1, South facing Balcony and fenestration.</t>
  </si>
  <si>
    <t>Jack and Jill Bathroom to bedroom 1, South facing balcony and fenestration.</t>
  </si>
  <si>
    <t>Separate lounge. Fenestration overlooking semi private courtyard.</t>
  </si>
  <si>
    <t>Private Balcony and access to semi priuvate courtyard.</t>
  </si>
  <si>
    <t xml:space="preserve"> Study Area. Dresser to bedroom 1, fenestration overlooking Plenty's Place.</t>
  </si>
  <si>
    <t>Private Roof Terrace and Frontage Amenity and access to semi private courtyard.</t>
  </si>
  <si>
    <t>Jack and Jill Bathroom to bedroom 1, South facing Roof Terrace and fenestration.</t>
  </si>
  <si>
    <t>En-suite to bedroom 1, Jack and Jill Bathroom to bedroom 2, fenestration overlooking Plenty's Place.</t>
  </si>
  <si>
    <t>Shared Roof Terrace and access to semi private courtyard.</t>
  </si>
  <si>
    <t>Shared Roof Terrace and access to public main mews street.</t>
  </si>
  <si>
    <t>Private Front Garden, and access to public main mews street.</t>
  </si>
  <si>
    <t>Private Roof Terrace and Frontage Amenity and access to shared private courtyard.</t>
  </si>
  <si>
    <t>Private Balcony and accesss to shared private courtyard.</t>
  </si>
  <si>
    <t>Victoria Court</t>
  </si>
  <si>
    <t>Proposed Commercial GIA  (5 Retail Units)</t>
  </si>
  <si>
    <t>TOTAL GROSS</t>
  </si>
  <si>
    <t>GIA + Gross Area</t>
  </si>
  <si>
    <t xml:space="preserve">Total Residential Area </t>
  </si>
  <si>
    <t>Total Commercial + Concierge</t>
  </si>
  <si>
    <t>Proposed Residential GIA (317 units)</t>
  </si>
  <si>
    <t>Phase 1B</t>
  </si>
  <si>
    <t>Phase 2</t>
  </si>
  <si>
    <t>Phase 3</t>
  </si>
  <si>
    <t>Phase 4</t>
  </si>
  <si>
    <t>Phase 5A</t>
  </si>
  <si>
    <t>Phase 6</t>
  </si>
  <si>
    <t>Phase 1C</t>
  </si>
  <si>
    <t>Phase 1C  offers early phased delivery of cycle parking and car parking located within the MSCP.</t>
  </si>
  <si>
    <t>MSCP</t>
  </si>
  <si>
    <t>Phase 1A</t>
  </si>
  <si>
    <t>Construction Phase:</t>
  </si>
  <si>
    <t>Retail Unit Number:</t>
  </si>
  <si>
    <t>Phase 1A offers opportunity to house a site office (within V2) and a sales office &amp; temporary Concierge (within V1).</t>
  </si>
  <si>
    <t>Phase 5B</t>
  </si>
  <si>
    <t>Phase 1 - General Typology Summary</t>
  </si>
  <si>
    <t>Proposed Residential GIA (20 units)</t>
  </si>
  <si>
    <t>Proposed Commercial GIA  (3 Retail Units)</t>
  </si>
  <si>
    <t>Phase 2 - General Typology Summary</t>
  </si>
  <si>
    <t>Proposed Residential GIA (22 units)</t>
  </si>
  <si>
    <t>Proposed Commercial GIA  (2 Retail Units)</t>
  </si>
  <si>
    <t>Phase 3 - General Typology Summary</t>
  </si>
  <si>
    <t>Proposed Residential GIA (27 units)</t>
  </si>
  <si>
    <t>Proposed Residential GIA (54 units)</t>
  </si>
  <si>
    <t>Proposed Residential GIA (92 units)</t>
  </si>
  <si>
    <t>Phase 5A - General Typology Summary</t>
  </si>
  <si>
    <t>Phase 4 - General Typology Summary</t>
  </si>
  <si>
    <t>Proposed Commercial GIA  (1 Retail Units)</t>
  </si>
  <si>
    <t>Proposed Residential GIA (74 units)</t>
  </si>
  <si>
    <t>Phase 6 - General Typology Summary</t>
  </si>
  <si>
    <t>Proposed Residential GIA (28 units)</t>
  </si>
  <si>
    <t>Velux Schedule</t>
  </si>
  <si>
    <t>Court Yard Number:</t>
  </si>
  <si>
    <t>Velux Types (by size in mm)</t>
  </si>
  <si>
    <t>Alma Court &amp; Ashton Thicket</t>
  </si>
  <si>
    <t>778x580</t>
  </si>
  <si>
    <t>780x1178</t>
  </si>
  <si>
    <t>869x1028</t>
  </si>
  <si>
    <t>942x1180</t>
  </si>
  <si>
    <t>717x1635</t>
  </si>
  <si>
    <t>1021x1635</t>
  </si>
  <si>
    <t>AOV Velux Types (by size in mm)</t>
  </si>
  <si>
    <t>800x900</t>
  </si>
  <si>
    <t>1000x900</t>
  </si>
  <si>
    <t>1000x1600</t>
  </si>
  <si>
    <t>Conservation Velux Example</t>
  </si>
  <si>
    <t>Lantern Schedule</t>
  </si>
  <si>
    <t>Roof Lantern Types (by size in mm)</t>
  </si>
  <si>
    <t>1500x2500</t>
  </si>
  <si>
    <t>1500x3000</t>
  </si>
  <si>
    <t>1000x1000</t>
  </si>
  <si>
    <t>1000x2000</t>
  </si>
  <si>
    <t>1500x2000</t>
  </si>
  <si>
    <t>1000x3000</t>
  </si>
  <si>
    <t>900x1500</t>
  </si>
  <si>
    <t>1000x1500</t>
  </si>
  <si>
    <t>AOV  Roof Lantern Types (by size in mm)</t>
  </si>
  <si>
    <t>1200x1600</t>
  </si>
  <si>
    <t>Stairwell Roof Lantern Types (by size in mm)</t>
  </si>
  <si>
    <t>3330x3880</t>
  </si>
  <si>
    <t>2450x6800</t>
  </si>
  <si>
    <t>2600x4735</t>
  </si>
  <si>
    <t>3000x6975</t>
  </si>
  <si>
    <t>2600x8155</t>
  </si>
  <si>
    <t xml:space="preserve">Grand Total </t>
  </si>
  <si>
    <t>Lantern Key:</t>
  </si>
  <si>
    <t>Refers to a Flat Roof Latern</t>
  </si>
  <si>
    <t>Refers to an Apex Roof Lantern</t>
  </si>
  <si>
    <t>Plot No</t>
  </si>
  <si>
    <t>Plot Name</t>
  </si>
  <si>
    <t>Primary Facing Material</t>
  </si>
  <si>
    <t>Secondary Facing Material</t>
  </si>
  <si>
    <t>Roof Material</t>
  </si>
  <si>
    <t>Facing Brick</t>
  </si>
  <si>
    <t>Painted Brick</t>
  </si>
  <si>
    <t>Render</t>
  </si>
  <si>
    <t>Zinc Clad Box</t>
  </si>
  <si>
    <t>Facing  Brick</t>
  </si>
  <si>
    <t>Stucco Render</t>
  </si>
  <si>
    <t>Timber Pannelling/ Detailing</t>
  </si>
  <si>
    <t>Slate Effect Roof Tile</t>
  </si>
  <si>
    <t>Clay Effect Roof Tile</t>
  </si>
  <si>
    <t>Flat Roof</t>
  </si>
  <si>
    <t>Green Roof</t>
  </si>
  <si>
    <t>The Arthouse</t>
  </si>
  <si>
    <t>Eagle House</t>
  </si>
  <si>
    <t>Eagle Lodge</t>
  </si>
  <si>
    <t>The Gallery</t>
  </si>
  <si>
    <t>Kiln House</t>
  </si>
  <si>
    <t>Crown House</t>
  </si>
  <si>
    <t>Essex House</t>
  </si>
  <si>
    <t>The Barn</t>
  </si>
  <si>
    <t>Gerard House</t>
  </si>
  <si>
    <t>Kimber House</t>
  </si>
  <si>
    <t>St Bartholomew House</t>
  </si>
  <si>
    <t>As per Plots 46, 47</t>
  </si>
  <si>
    <t>Alma House</t>
  </si>
  <si>
    <t>Alma Cottage</t>
  </si>
  <si>
    <t>As per Plots 61, 62</t>
  </si>
  <si>
    <t>As per Plots 77, 78</t>
  </si>
  <si>
    <t>Charlton House</t>
  </si>
  <si>
    <t>Dolman House</t>
  </si>
  <si>
    <t>The Smithy</t>
  </si>
  <si>
    <t>The Bellows</t>
  </si>
  <si>
    <t>The Forge</t>
  </si>
  <si>
    <t>Whitesmith House</t>
  </si>
  <si>
    <t>Coppersmith House</t>
  </si>
  <si>
    <t>Kennet House</t>
  </si>
  <si>
    <t>Falkland Lodge</t>
  </si>
  <si>
    <t>Falkland House</t>
  </si>
  <si>
    <t>New Burgh House</t>
  </si>
  <si>
    <t>Ulvritone House</t>
  </si>
  <si>
    <t>Craven House</t>
  </si>
  <si>
    <t>As per Plot 143</t>
  </si>
  <si>
    <t>As per Plot 156</t>
  </si>
  <si>
    <t>The Fane</t>
  </si>
  <si>
    <t>Winchcombe House</t>
  </si>
  <si>
    <t>As per Plot 165</t>
  </si>
  <si>
    <t>As per Plot 166</t>
  </si>
  <si>
    <t>As per Plots 174, 175</t>
  </si>
  <si>
    <t>As per Plot 176</t>
  </si>
  <si>
    <t>The Workshop</t>
  </si>
  <si>
    <t>Pellow House</t>
  </si>
  <si>
    <t>As per Plot 183</t>
  </si>
  <si>
    <t>As per Plots 184-186</t>
  </si>
  <si>
    <t>As per Plot 187</t>
  </si>
  <si>
    <t>As per Plot 188</t>
  </si>
  <si>
    <t>As per Plots 189-193</t>
  </si>
  <si>
    <t>As per Plot 216</t>
  </si>
  <si>
    <t>As per Plot 217</t>
  </si>
  <si>
    <t>As per Plot 228</t>
  </si>
  <si>
    <t>Victoria House</t>
  </si>
  <si>
    <t>As per Plots 275, 276</t>
  </si>
  <si>
    <t>A per Plots 277-288</t>
  </si>
  <si>
    <t>As per Plots 302, 303</t>
  </si>
  <si>
    <t>As per Plot 304</t>
  </si>
  <si>
    <t>Herborough House</t>
  </si>
  <si>
    <t>As per Plot 311-312</t>
  </si>
  <si>
    <t>As per Plot 313</t>
  </si>
  <si>
    <t>Ancillary Buildings</t>
  </si>
  <si>
    <t>Refuse Store for Plots 6-14 - Eagle Yard</t>
  </si>
  <si>
    <t>Refuse Store for Plots 19-25 - Artist Mews (South)</t>
  </si>
  <si>
    <t>Refuse Store for Plots 133-142  - Falkland Place</t>
  </si>
  <si>
    <t>Refuse Store for Plots 87-94, 104-109 - Smith's Yard</t>
  </si>
  <si>
    <t>Materials Summary BY Built Form</t>
  </si>
  <si>
    <t>As per Plots 299-301</t>
  </si>
  <si>
    <t>As per Plots 60</t>
  </si>
  <si>
    <t>Plain Tile.</t>
  </si>
  <si>
    <t>Natural Slate.</t>
  </si>
  <si>
    <t>The below sechdule should be read in conjunction with the Materials Layout (ref: 19401 1075D)</t>
  </si>
  <si>
    <t>Facing Material Key</t>
  </si>
  <si>
    <t>Red Facing Brick</t>
  </si>
  <si>
    <t>Orange/ Red Facing brick</t>
  </si>
  <si>
    <t>Buff Facing Brick</t>
  </si>
  <si>
    <t>Grey/ Buff Facing Brick</t>
  </si>
  <si>
    <t>Purple/Grey Facing Brick</t>
  </si>
  <si>
    <t>Proposed Multi Family (Communal Access) Average Unit Size</t>
  </si>
  <si>
    <t>Proposed Single Family (Own Front Door) Average Unit Size</t>
  </si>
  <si>
    <t>Single Family</t>
  </si>
  <si>
    <t>Multi Family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</si>
</sst>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#,##0.0"/>
  </numFmts>
  <fonts count="46" x14ac:knownFonts="1">
    <font>
      <sz val="11"/>
      <color theme="1"/>
      <name val="Calibri"/>
      <family val="2"/>
      <scheme val="minor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b/>
      <u/>
      <sz val="9"/>
      <color theme="1"/>
      <name val="Trebuchet MS"/>
      <family val="2"/>
    </font>
    <font>
      <b/>
      <u/>
      <sz val="14"/>
      <color theme="1"/>
      <name val="Trebuchet MS"/>
      <family val="2"/>
    </font>
    <font>
      <b/>
      <sz val="9"/>
      <color theme="1"/>
      <name val="Trebuchet MS"/>
      <family val="2"/>
    </font>
    <font>
      <sz val="11"/>
      <color theme="1"/>
      <name val="Trebuchet MS"/>
      <family val="2"/>
    </font>
    <font>
      <sz val="11"/>
      <color rgb="FFFF0000"/>
      <name val="Trebuchet MS"/>
      <family val="2"/>
    </font>
    <font>
      <sz val="8"/>
      <name val="Calibri"/>
      <family val="2"/>
      <scheme val="minor"/>
    </font>
    <font>
      <sz val="9"/>
      <name val="Trebuchet MS"/>
      <family val="2"/>
    </font>
    <font>
      <sz val="9"/>
      <color rgb="FFFF0000"/>
      <name val="Trebuchet MS"/>
      <family val="2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u/>
      <sz val="11"/>
      <color theme="1"/>
      <name val="Trebuchet MS"/>
      <family val="2"/>
    </font>
    <font>
      <b/>
      <sz val="10"/>
      <color theme="1"/>
      <name val="Trebuchet MS"/>
      <family val="2"/>
    </font>
    <font>
      <sz val="9"/>
      <color theme="0" tint="-0.499984740745262"/>
      <name val="Trebuchet MS"/>
      <family val="2"/>
    </font>
    <font>
      <b/>
      <sz val="9"/>
      <color rgb="FFFF0000"/>
      <name val="Trebuchet MS"/>
      <family val="2"/>
    </font>
    <font>
      <sz val="11"/>
      <name val="Ubuntu Mono"/>
      <family val="3"/>
    </font>
    <font>
      <sz val="11"/>
      <color rgb="FFFF0000"/>
      <name val="Calibri"/>
      <family val="2"/>
      <scheme val="minor"/>
    </font>
    <font>
      <sz val="9"/>
      <color rgb="FF0070C0"/>
      <name val="Trebuchet MS"/>
      <family val="2"/>
    </font>
    <font>
      <b/>
      <sz val="11"/>
      <color theme="1"/>
      <name val="Trebuchet MS"/>
      <family val="2"/>
    </font>
    <font>
      <sz val="8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5"/>
      <color theme="1"/>
      <name val="Trebuchet MS"/>
      <family val="2"/>
    </font>
    <font>
      <sz val="9"/>
      <color theme="5"/>
      <name val="Trebuchet MS"/>
      <family val="2"/>
    </font>
    <font>
      <sz val="9"/>
      <color rgb="FF002060"/>
      <name val="Trebuchet MS"/>
      <family val="2"/>
    </font>
    <font>
      <b/>
      <sz val="9"/>
      <name val="Trebuchet MS"/>
      <family val="2"/>
    </font>
    <font>
      <sz val="10"/>
      <color theme="1"/>
      <name val="Trebuchet MS"/>
      <family val="2"/>
    </font>
    <font>
      <b/>
      <u val="double"/>
      <sz val="9"/>
      <color theme="1"/>
      <name val="Trebuchet MS"/>
      <family val="2"/>
    </font>
    <font>
      <b/>
      <sz val="10"/>
      <name val="Trebuchet MS"/>
      <family val="2"/>
    </font>
    <font>
      <b/>
      <u val="double"/>
      <sz val="10"/>
      <color theme="1"/>
      <name val="Trebuchet MS"/>
      <family val="2"/>
    </font>
    <font>
      <sz val="9"/>
      <color theme="0"/>
      <name val="Trebuchet MS"/>
      <family val="2"/>
    </font>
    <font>
      <b/>
      <sz val="11"/>
      <name val="Trebuchet M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theme="1"/>
      <name val="Trebuchet MS"/>
      <family val="2"/>
    </font>
    <font>
      <sz val="12"/>
      <color theme="1"/>
      <name val="Trebuchet MS"/>
      <family val="2"/>
    </font>
    <font>
      <b/>
      <u/>
      <sz val="12"/>
      <color theme="1"/>
      <name val="Trebuchet MS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Trebuchet MS"/>
      <family val="2"/>
    </font>
    <font>
      <b/>
      <u/>
      <sz val="11"/>
      <color theme="1"/>
      <name val="Calibri"/>
      <family val="2"/>
      <scheme val="minor"/>
    </font>
    <font>
      <sz val="9"/>
      <name val="Ubuntu Mono"/>
      <family val="3"/>
    </font>
    <font>
      <b/>
      <u/>
      <sz val="10"/>
      <color theme="1"/>
      <name val="Trebuchet MS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37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C8EDE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34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ashed">
        <color indexed="64"/>
      </bottom>
      <diagonal/>
    </border>
    <border>
      <left/>
      <right style="medium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dashed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ck">
        <color theme="7" tint="0.39997558519241921"/>
      </top>
      <bottom/>
      <diagonal/>
    </border>
    <border>
      <left/>
      <right style="thick">
        <color theme="7" tint="0.39997558519241921"/>
      </right>
      <top style="thick">
        <color theme="7" tint="0.39997558519241921"/>
      </top>
      <bottom/>
      <diagonal/>
    </border>
    <border>
      <left/>
      <right style="thick">
        <color theme="7" tint="0.39997558519241921"/>
      </right>
      <top/>
      <bottom/>
      <diagonal/>
    </border>
    <border>
      <left/>
      <right/>
      <top/>
      <bottom style="thick">
        <color theme="7" tint="0.39997558519241921"/>
      </bottom>
      <diagonal/>
    </border>
    <border>
      <left/>
      <right style="thick">
        <color theme="7" tint="0.39997558519241921"/>
      </right>
      <top/>
      <bottom style="thick">
        <color theme="7" tint="0.39997558519241921"/>
      </bottom>
      <diagonal/>
    </border>
    <border>
      <left style="thick">
        <color theme="7" tint="0.39997558519241921"/>
      </left>
      <right style="hair">
        <color indexed="64"/>
      </right>
      <top style="thick">
        <color theme="7" tint="0.39997558519241921"/>
      </top>
      <bottom/>
      <diagonal/>
    </border>
    <border>
      <left style="thick">
        <color theme="7" tint="0.39997558519241921"/>
      </left>
      <right style="hair">
        <color indexed="64"/>
      </right>
      <top/>
      <bottom/>
      <diagonal/>
    </border>
    <border>
      <left style="thick">
        <color theme="7" tint="0.39997558519241921"/>
      </left>
      <right style="hair">
        <color indexed="64"/>
      </right>
      <top/>
      <bottom style="hair">
        <color indexed="64"/>
      </bottom>
      <diagonal/>
    </border>
    <border>
      <left style="thick">
        <color theme="7" tint="0.39997558519241921"/>
      </left>
      <right style="hair">
        <color indexed="64"/>
      </right>
      <top style="hair">
        <color indexed="64"/>
      </top>
      <bottom/>
      <diagonal/>
    </border>
    <border>
      <left style="thick">
        <color theme="7" tint="0.39997558519241921"/>
      </left>
      <right style="hair">
        <color indexed="64"/>
      </right>
      <top/>
      <bottom style="thick">
        <color theme="7" tint="0.39997558519241921"/>
      </bottom>
      <diagonal/>
    </border>
    <border>
      <left style="thick">
        <color theme="7" tint="0.39997558519241921"/>
      </left>
      <right/>
      <top style="thick">
        <color theme="7" tint="0.39997558519241921"/>
      </top>
      <bottom/>
      <diagonal/>
    </border>
    <border>
      <left/>
      <right style="hair">
        <color indexed="64"/>
      </right>
      <top style="thick">
        <color theme="7" tint="0.39997558519241921"/>
      </top>
      <bottom/>
      <diagonal/>
    </border>
    <border>
      <left style="hair">
        <color indexed="64"/>
      </left>
      <right style="hair">
        <color indexed="64"/>
      </right>
      <top style="thick">
        <color theme="7" tint="0.39997558519241921"/>
      </top>
      <bottom/>
      <diagonal/>
    </border>
    <border>
      <left style="hair">
        <color indexed="64"/>
      </left>
      <right style="thick">
        <color theme="7" tint="0.39997558519241921"/>
      </right>
      <top style="thick">
        <color theme="7" tint="0.39997558519241921"/>
      </top>
      <bottom/>
      <diagonal/>
    </border>
    <border>
      <left style="thick">
        <color theme="7" tint="0.39997558519241921"/>
      </left>
      <right/>
      <top/>
      <bottom/>
      <diagonal/>
    </border>
    <border>
      <left style="hair">
        <color indexed="64"/>
      </left>
      <right style="thick">
        <color theme="7" tint="0.39997558519241921"/>
      </right>
      <top/>
      <bottom/>
      <diagonal/>
    </border>
    <border>
      <left style="thick">
        <color theme="7" tint="0.39997558519241921"/>
      </left>
      <right/>
      <top/>
      <bottom style="thick">
        <color theme="7" tint="0.39997558519241921"/>
      </bottom>
      <diagonal/>
    </border>
    <border>
      <left/>
      <right style="hair">
        <color indexed="64"/>
      </right>
      <top/>
      <bottom style="thick">
        <color theme="7" tint="0.39997558519241921"/>
      </bottom>
      <diagonal/>
    </border>
    <border>
      <left style="hair">
        <color indexed="64"/>
      </left>
      <right style="hair">
        <color indexed="64"/>
      </right>
      <top/>
      <bottom style="thick">
        <color theme="7" tint="0.39997558519241921"/>
      </bottom>
      <diagonal/>
    </border>
    <border>
      <left style="hair">
        <color indexed="64"/>
      </left>
      <right style="thick">
        <color theme="7" tint="0.39997558519241921"/>
      </right>
      <top/>
      <bottom style="thick">
        <color theme="7" tint="0.39997558519241921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2" fillId="0" borderId="0"/>
    <xf numFmtId="43" fontId="11" fillId="0" borderId="0" applyFont="0" applyFill="0" applyBorder="0" applyAlignment="0" applyProtection="0"/>
    <xf numFmtId="0" fontId="1" fillId="0" borderId="0"/>
    <xf numFmtId="0" fontId="1" fillId="0" borderId="0"/>
  </cellStyleXfs>
  <cellXfs count="1979">
    <xf numFmtId="0" fontId="0" fillId="0" borderId="0" xfId="0"/>
    <xf numFmtId="0" fontId="3" fillId="3" borderId="26" xfId="1" applyFont="1" applyFill="1" applyBorder="1" applyAlignment="1">
      <alignment horizontal="center" vertical="center" wrapText="1"/>
    </xf>
    <xf numFmtId="0" fontId="6" fillId="0" borderId="0" xfId="0" applyFont="1"/>
    <xf numFmtId="0" fontId="2" fillId="3" borderId="29" xfId="1" applyFill="1" applyBorder="1" applyAlignment="1">
      <alignment horizontal="center" vertical="center"/>
    </xf>
    <xf numFmtId="0" fontId="2" fillId="3" borderId="27" xfId="1" applyFill="1" applyBorder="1" applyAlignment="1">
      <alignment horizontal="center" vertical="center"/>
    </xf>
    <xf numFmtId="0" fontId="2" fillId="3" borderId="30" xfId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2" fillId="2" borderId="8" xfId="1" applyFill="1" applyBorder="1" applyAlignment="1">
      <alignment horizontal="center" vertical="center" wrapText="1"/>
    </xf>
    <xf numFmtId="3" fontId="2" fillId="2" borderId="10" xfId="1" applyNumberFormat="1" applyFill="1" applyBorder="1" applyAlignment="1">
      <alignment horizontal="center" vertical="center"/>
    </xf>
    <xf numFmtId="9" fontId="2" fillId="0" borderId="22" xfId="1" applyNumberFormat="1" applyBorder="1" applyAlignment="1">
      <alignment horizontal="center" vertical="center"/>
    </xf>
    <xf numFmtId="9" fontId="2" fillId="0" borderId="17" xfId="1" applyNumberFormat="1" applyBorder="1" applyAlignment="1">
      <alignment horizontal="center" vertical="center"/>
    </xf>
    <xf numFmtId="9" fontId="2" fillId="0" borderId="23" xfId="1" applyNumberFormat="1" applyBorder="1" applyAlignment="1">
      <alignment horizontal="center" vertical="center"/>
    </xf>
    <xf numFmtId="0" fontId="2" fillId="2" borderId="18" xfId="1" applyFill="1" applyBorder="1" applyAlignment="1">
      <alignment horizontal="center" vertical="center"/>
    </xf>
    <xf numFmtId="0" fontId="2" fillId="2" borderId="9" xfId="1" applyFill="1" applyBorder="1" applyAlignment="1">
      <alignment horizontal="center" vertical="center"/>
    </xf>
    <xf numFmtId="0" fontId="2" fillId="2" borderId="11" xfId="1" applyFill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6" fillId="2" borderId="36" xfId="0" applyFont="1" applyFill="1" applyBorder="1"/>
    <xf numFmtId="0" fontId="3" fillId="4" borderId="12" xfId="1" applyFont="1" applyFill="1" applyBorder="1" applyAlignment="1">
      <alignment horizontal="center" vertical="center"/>
    </xf>
    <xf numFmtId="0" fontId="3" fillId="4" borderId="2" xfId="1" applyFont="1" applyFill="1" applyBorder="1" applyAlignment="1">
      <alignment horizontal="center" vertical="center"/>
    </xf>
    <xf numFmtId="0" fontId="3" fillId="3" borderId="45" xfId="1" applyFont="1" applyFill="1" applyBorder="1" applyAlignment="1">
      <alignment horizontal="center" vertical="center"/>
    </xf>
    <xf numFmtId="0" fontId="6" fillId="2" borderId="32" xfId="0" applyFont="1" applyFill="1" applyBorder="1"/>
    <xf numFmtId="0" fontId="9" fillId="0" borderId="7" xfId="0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0" fontId="2" fillId="0" borderId="0" xfId="0" applyFont="1"/>
    <xf numFmtId="0" fontId="2" fillId="3" borderId="0" xfId="0" applyFont="1" applyFill="1"/>
    <xf numFmtId="0" fontId="6" fillId="3" borderId="0" xfId="0" applyFont="1" applyFill="1"/>
    <xf numFmtId="0" fontId="9" fillId="0" borderId="46" xfId="0" applyFont="1" applyBorder="1" applyAlignment="1">
      <alignment horizontal="center"/>
    </xf>
    <xf numFmtId="164" fontId="9" fillId="0" borderId="46" xfId="0" applyNumberFormat="1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164" fontId="6" fillId="0" borderId="0" xfId="0" applyNumberFormat="1" applyFont="1"/>
    <xf numFmtId="0" fontId="2" fillId="0" borderId="39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164" fontId="2" fillId="0" borderId="43" xfId="0" applyNumberFormat="1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69" xfId="0" applyFont="1" applyBorder="1" applyAlignment="1">
      <alignment horizontal="center"/>
    </xf>
    <xf numFmtId="3" fontId="2" fillId="2" borderId="32" xfId="1" applyNumberForma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164" fontId="2" fillId="2" borderId="32" xfId="0" applyNumberFormat="1" applyFont="1" applyFill="1" applyBorder="1" applyAlignment="1">
      <alignment horizontal="center" vertical="center"/>
    </xf>
    <xf numFmtId="0" fontId="2" fillId="2" borderId="35" xfId="1" applyFill="1" applyBorder="1" applyAlignment="1">
      <alignment horizontal="center" vertical="center"/>
    </xf>
    <xf numFmtId="0" fontId="2" fillId="2" borderId="32" xfId="1" applyFill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2" borderId="33" xfId="1" applyFill="1" applyBorder="1" applyAlignment="1">
      <alignment horizontal="center" vertical="center" wrapText="1"/>
    </xf>
    <xf numFmtId="9" fontId="2" fillId="0" borderId="67" xfId="1" applyNumberFormat="1" applyBorder="1" applyAlignment="1">
      <alignment horizontal="center" vertical="center"/>
    </xf>
    <xf numFmtId="9" fontId="2" fillId="0" borderId="70" xfId="1" applyNumberFormat="1" applyBorder="1" applyAlignment="1">
      <alignment horizontal="center" vertical="center"/>
    </xf>
    <xf numFmtId="9" fontId="2" fillId="0" borderId="80" xfId="1" applyNumberFormat="1" applyBorder="1" applyAlignment="1">
      <alignment horizontal="center" vertical="center"/>
    </xf>
    <xf numFmtId="0" fontId="3" fillId="3" borderId="81" xfId="1" applyFont="1" applyFill="1" applyBorder="1" applyAlignment="1">
      <alignment horizontal="center" vertical="center"/>
    </xf>
    <xf numFmtId="0" fontId="3" fillId="3" borderId="82" xfId="1" applyFont="1" applyFill="1" applyBorder="1" applyAlignment="1">
      <alignment horizontal="center" vertical="center"/>
    </xf>
    <xf numFmtId="0" fontId="3" fillId="3" borderId="4" xfId="1" applyFont="1" applyFill="1" applyBorder="1" applyAlignment="1">
      <alignment horizontal="center" vertical="center" wrapText="1"/>
    </xf>
    <xf numFmtId="0" fontId="2" fillId="3" borderId="76" xfId="1" applyFill="1" applyBorder="1" applyAlignment="1">
      <alignment horizontal="center" vertical="center"/>
    </xf>
    <xf numFmtId="0" fontId="2" fillId="3" borderId="89" xfId="1" applyFill="1" applyBorder="1" applyAlignment="1">
      <alignment horizontal="center" vertical="center"/>
    </xf>
    <xf numFmtId="0" fontId="2" fillId="3" borderId="90" xfId="1" applyFill="1" applyBorder="1" applyAlignment="1">
      <alignment horizontal="center" vertical="center"/>
    </xf>
    <xf numFmtId="0" fontId="2" fillId="3" borderId="88" xfId="1" applyFill="1" applyBorder="1" applyAlignment="1">
      <alignment horizontal="center" vertical="center"/>
    </xf>
    <xf numFmtId="0" fontId="3" fillId="3" borderId="81" xfId="1" applyFont="1" applyFill="1" applyBorder="1" applyAlignment="1">
      <alignment horizontal="center" vertical="center" wrapText="1"/>
    </xf>
    <xf numFmtId="0" fontId="3" fillId="3" borderId="94" xfId="1" applyFont="1" applyFill="1" applyBorder="1" applyAlignment="1">
      <alignment horizontal="center" vertical="center" wrapText="1"/>
    </xf>
    <xf numFmtId="0" fontId="3" fillId="3" borderId="93" xfId="1" applyFont="1" applyFill="1" applyBorder="1" applyAlignment="1">
      <alignment horizontal="center" vertical="center"/>
    </xf>
    <xf numFmtId="0" fontId="3" fillId="3" borderId="94" xfId="1" applyFont="1" applyFill="1" applyBorder="1" applyAlignment="1">
      <alignment horizontal="center" vertical="center"/>
    </xf>
    <xf numFmtId="0" fontId="3" fillId="3" borderId="97" xfId="1" applyFont="1" applyFill="1" applyBorder="1" applyAlignment="1">
      <alignment horizontal="center" vertical="center"/>
    </xf>
    <xf numFmtId="0" fontId="2" fillId="0" borderId="96" xfId="0" applyFont="1" applyBorder="1" applyAlignment="1">
      <alignment horizontal="center"/>
    </xf>
    <xf numFmtId="0" fontId="2" fillId="0" borderId="83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2" fillId="0" borderId="74" xfId="0" applyFont="1" applyBorder="1" applyAlignment="1">
      <alignment horizontal="center" vertical="center"/>
    </xf>
    <xf numFmtId="164" fontId="2" fillId="0" borderId="98" xfId="0" applyNumberFormat="1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91" xfId="0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98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87" xfId="0" applyFont="1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0" fontId="2" fillId="0" borderId="99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101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164" fontId="2" fillId="0" borderId="102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164" fontId="2" fillId="0" borderId="91" xfId="0" applyNumberFormat="1" applyFont="1" applyBorder="1" applyAlignment="1">
      <alignment horizontal="center" vertical="center"/>
    </xf>
    <xf numFmtId="164" fontId="2" fillId="0" borderId="92" xfId="0" applyNumberFormat="1" applyFont="1" applyBorder="1" applyAlignment="1">
      <alignment horizontal="center" vertical="center"/>
    </xf>
    <xf numFmtId="164" fontId="2" fillId="0" borderId="25" xfId="0" applyNumberFormat="1" applyFont="1" applyBorder="1" applyAlignment="1">
      <alignment horizontal="center" vertical="center"/>
    </xf>
    <xf numFmtId="164" fontId="2" fillId="0" borderId="100" xfId="0" applyNumberFormat="1" applyFont="1" applyBorder="1" applyAlignment="1">
      <alignment horizontal="center" vertical="center"/>
    </xf>
    <xf numFmtId="0" fontId="2" fillId="0" borderId="43" xfId="0" applyFont="1" applyBorder="1" applyAlignment="1">
      <alignment horizontal="center"/>
    </xf>
    <xf numFmtId="0" fontId="2" fillId="2" borderId="103" xfId="1" applyFill="1" applyBorder="1" applyAlignment="1">
      <alignment horizontal="center" vertical="center"/>
    </xf>
    <xf numFmtId="3" fontId="2" fillId="2" borderId="104" xfId="1" applyNumberFormat="1" applyFill="1" applyBorder="1" applyAlignment="1">
      <alignment horizontal="center" vertical="center"/>
    </xf>
    <xf numFmtId="0" fontId="2" fillId="2" borderId="77" xfId="1" applyFill="1" applyBorder="1" applyAlignment="1">
      <alignment horizontal="center" vertical="center"/>
    </xf>
    <xf numFmtId="0" fontId="2" fillId="0" borderId="105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164" fontId="2" fillId="0" borderId="4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55" xfId="0" applyNumberFormat="1" applyFont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2" borderId="33" xfId="1" applyFill="1" applyBorder="1" applyAlignment="1">
      <alignment horizontal="center" vertical="center"/>
    </xf>
    <xf numFmtId="164" fontId="2" fillId="3" borderId="106" xfId="0" applyNumberFormat="1" applyFont="1" applyFill="1" applyBorder="1" applyAlignment="1">
      <alignment horizontal="center" vertical="center"/>
    </xf>
    <xf numFmtId="0" fontId="2" fillId="3" borderId="106" xfId="0" applyFont="1" applyFill="1" applyBorder="1" applyAlignment="1">
      <alignment vertical="center"/>
    </xf>
    <xf numFmtId="0" fontId="3" fillId="3" borderId="107" xfId="1" applyFont="1" applyFill="1" applyBorder="1" applyAlignment="1">
      <alignment horizontal="center" vertical="center"/>
    </xf>
    <xf numFmtId="0" fontId="3" fillId="3" borderId="108" xfId="1" applyFont="1" applyFill="1" applyBorder="1" applyAlignment="1">
      <alignment horizontal="center" vertical="center"/>
    </xf>
    <xf numFmtId="0" fontId="3" fillId="3" borderId="109" xfId="1" applyFont="1" applyFill="1" applyBorder="1" applyAlignment="1">
      <alignment horizontal="center" vertical="center"/>
    </xf>
    <xf numFmtId="0" fontId="3" fillId="3" borderId="110" xfId="1" applyFont="1" applyFill="1" applyBorder="1" applyAlignment="1">
      <alignment horizontal="center" vertical="center"/>
    </xf>
    <xf numFmtId="0" fontId="3" fillId="3" borderId="110" xfId="1" applyFont="1" applyFill="1" applyBorder="1" applyAlignment="1">
      <alignment horizontal="center" vertical="center" wrapText="1"/>
    </xf>
    <xf numFmtId="0" fontId="3" fillId="3" borderId="108" xfId="1" applyFont="1" applyFill="1" applyBorder="1" applyAlignment="1">
      <alignment horizontal="center" vertical="center" wrapText="1"/>
    </xf>
    <xf numFmtId="0" fontId="3" fillId="3" borderId="111" xfId="1" applyFont="1" applyFill="1" applyBorder="1" applyAlignment="1">
      <alignment horizontal="center" vertical="center" wrapText="1"/>
    </xf>
    <xf numFmtId="0" fontId="2" fillId="3" borderId="112" xfId="1" applyFill="1" applyBorder="1" applyAlignment="1">
      <alignment horizontal="center" vertical="center"/>
    </xf>
    <xf numFmtId="0" fontId="2" fillId="3" borderId="113" xfId="1" applyFill="1" applyBorder="1" applyAlignment="1">
      <alignment horizontal="center" vertical="center"/>
    </xf>
    <xf numFmtId="0" fontId="2" fillId="3" borderId="114" xfId="1" applyFill="1" applyBorder="1" applyAlignment="1">
      <alignment horizontal="center" vertical="center"/>
    </xf>
    <xf numFmtId="0" fontId="2" fillId="3" borderId="115" xfId="1" applyFill="1" applyBorder="1" applyAlignment="1">
      <alignment horizontal="center" vertical="center"/>
    </xf>
    <xf numFmtId="0" fontId="2" fillId="3" borderId="116" xfId="0" applyFont="1" applyFill="1" applyBorder="1" applyAlignment="1">
      <alignment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03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0" borderId="101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164" fontId="2" fillId="0" borderId="44" xfId="0" applyNumberFormat="1" applyFont="1" applyBorder="1" applyAlignment="1">
      <alignment horizontal="center"/>
    </xf>
    <xf numFmtId="0" fontId="2" fillId="0" borderId="105" xfId="0" applyFont="1" applyBorder="1" applyAlignment="1">
      <alignment horizontal="center"/>
    </xf>
    <xf numFmtId="0" fontId="2" fillId="0" borderId="100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91" xfId="0" applyFont="1" applyBorder="1" applyAlignment="1">
      <alignment horizontal="center"/>
    </xf>
    <xf numFmtId="0" fontId="2" fillId="0" borderId="92" xfId="0" applyFont="1" applyBorder="1" applyAlignment="1">
      <alignment horizontal="center"/>
    </xf>
    <xf numFmtId="0" fontId="2" fillId="0" borderId="83" xfId="0" applyFont="1" applyBorder="1" applyAlignment="1">
      <alignment horizontal="center"/>
    </xf>
    <xf numFmtId="0" fontId="2" fillId="0" borderId="95" xfId="0" applyFont="1" applyBorder="1" applyAlignment="1">
      <alignment horizontal="center"/>
    </xf>
    <xf numFmtId="0" fontId="2" fillId="0" borderId="117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2" fillId="3" borderId="116" xfId="0" applyFont="1" applyFill="1" applyBorder="1" applyAlignment="1">
      <alignment horizontal="center" vertical="center"/>
    </xf>
    <xf numFmtId="0" fontId="2" fillId="3" borderId="106" xfId="0" applyFont="1" applyFill="1" applyBorder="1" applyAlignment="1">
      <alignment horizontal="center" vertical="center"/>
    </xf>
    <xf numFmtId="0" fontId="2" fillId="0" borderId="84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3" fillId="3" borderId="120" xfId="1" applyFont="1" applyFill="1" applyBorder="1" applyAlignment="1">
      <alignment horizontal="center" vertical="center"/>
    </xf>
    <xf numFmtId="0" fontId="2" fillId="3" borderId="11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64" fontId="2" fillId="2" borderId="121" xfId="0" applyNumberFormat="1" applyFont="1" applyFill="1" applyBorder="1" applyAlignment="1">
      <alignment horizontal="center" vertical="center"/>
    </xf>
    <xf numFmtId="0" fontId="3" fillId="3" borderId="122" xfId="1" applyFont="1" applyFill="1" applyBorder="1" applyAlignment="1">
      <alignment horizontal="center" vertical="center"/>
    </xf>
    <xf numFmtId="0" fontId="3" fillId="3" borderId="123" xfId="1" applyFont="1" applyFill="1" applyBorder="1" applyAlignment="1">
      <alignment horizontal="center" vertical="center"/>
    </xf>
    <xf numFmtId="0" fontId="3" fillId="3" borderId="124" xfId="1" applyFont="1" applyFill="1" applyBorder="1" applyAlignment="1">
      <alignment horizontal="center" vertical="center"/>
    </xf>
    <xf numFmtId="0" fontId="3" fillId="3" borderId="124" xfId="1" applyFont="1" applyFill="1" applyBorder="1" applyAlignment="1">
      <alignment horizontal="center" vertical="center" wrapText="1"/>
    </xf>
    <xf numFmtId="0" fontId="3" fillId="3" borderId="45" xfId="1" applyFont="1" applyFill="1" applyBorder="1" applyAlignment="1">
      <alignment horizontal="center" vertical="center" wrapText="1"/>
    </xf>
    <xf numFmtId="0" fontId="2" fillId="3" borderId="28" xfId="1" applyFill="1" applyBorder="1" applyAlignment="1">
      <alignment horizontal="center" vertical="center"/>
    </xf>
    <xf numFmtId="0" fontId="2" fillId="3" borderId="125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126" xfId="0" applyFont="1" applyBorder="1" applyAlignment="1">
      <alignment horizontal="center" vertical="center"/>
    </xf>
    <xf numFmtId="0" fontId="2" fillId="0" borderId="128" xfId="0" applyFont="1" applyBorder="1" applyAlignment="1">
      <alignment horizontal="center" vertical="center"/>
    </xf>
    <xf numFmtId="0" fontId="2" fillId="0" borderId="130" xfId="0" applyFont="1" applyBorder="1" applyAlignment="1">
      <alignment horizontal="center" vertical="center"/>
    </xf>
    <xf numFmtId="0" fontId="2" fillId="0" borderId="131" xfId="0" applyFont="1" applyBorder="1" applyAlignment="1">
      <alignment horizontal="center" vertical="center"/>
    </xf>
    <xf numFmtId="0" fontId="2" fillId="0" borderId="108" xfId="0" applyFont="1" applyBorder="1" applyAlignment="1">
      <alignment horizontal="center" vertical="center"/>
    </xf>
    <xf numFmtId="0" fontId="2" fillId="0" borderId="120" xfId="0" applyFont="1" applyBorder="1" applyAlignment="1">
      <alignment horizontal="center" vertical="center"/>
    </xf>
    <xf numFmtId="0" fontId="2" fillId="0" borderId="132" xfId="0" applyFont="1" applyBorder="1" applyAlignment="1">
      <alignment horizontal="center" vertical="center"/>
    </xf>
    <xf numFmtId="0" fontId="2" fillId="0" borderId="133" xfId="0" applyFont="1" applyBorder="1" applyAlignment="1">
      <alignment horizontal="center" vertical="center"/>
    </xf>
    <xf numFmtId="0" fontId="2" fillId="0" borderId="134" xfId="0" applyFont="1" applyBorder="1" applyAlignment="1">
      <alignment horizontal="center" vertical="center"/>
    </xf>
    <xf numFmtId="0" fontId="2" fillId="0" borderId="127" xfId="0" applyFont="1" applyBorder="1" applyAlignment="1">
      <alignment horizontal="center" vertical="center" wrapText="1"/>
    </xf>
    <xf numFmtId="0" fontId="2" fillId="0" borderId="135" xfId="0" applyFont="1" applyBorder="1" applyAlignment="1">
      <alignment horizontal="center" vertical="center" wrapText="1"/>
    </xf>
    <xf numFmtId="0" fontId="2" fillId="0" borderId="111" xfId="0" applyFont="1" applyBorder="1" applyAlignment="1">
      <alignment horizontal="center" vertical="center"/>
    </xf>
    <xf numFmtId="0" fontId="2" fillId="3" borderId="136" xfId="0" applyFont="1" applyFill="1" applyBorder="1" applyAlignment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3" fillId="3" borderId="137" xfId="1" applyFont="1" applyFill="1" applyBorder="1" applyAlignment="1">
      <alignment horizontal="center" vertical="center" wrapText="1"/>
    </xf>
    <xf numFmtId="0" fontId="2" fillId="0" borderId="138" xfId="0" applyFont="1" applyBorder="1" applyAlignment="1">
      <alignment horizontal="center" vertical="center"/>
    </xf>
    <xf numFmtId="0" fontId="6" fillId="0" borderId="143" xfId="0" applyFont="1" applyBorder="1" applyAlignment="1">
      <alignment horizontal="center"/>
    </xf>
    <xf numFmtId="0" fontId="6" fillId="0" borderId="145" xfId="0" applyFont="1" applyBorder="1" applyAlignment="1">
      <alignment horizontal="center"/>
    </xf>
    <xf numFmtId="0" fontId="6" fillId="0" borderId="139" xfId="0" applyFont="1" applyBorder="1" applyAlignment="1">
      <alignment horizontal="center"/>
    </xf>
    <xf numFmtId="0" fontId="2" fillId="0" borderId="140" xfId="0" applyFont="1" applyBorder="1" applyAlignment="1">
      <alignment horizontal="center"/>
    </xf>
    <xf numFmtId="0" fontId="2" fillId="0" borderId="142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/>
    </xf>
    <xf numFmtId="0" fontId="15" fillId="0" borderId="7" xfId="0" applyFont="1" applyBorder="1" applyAlignment="1">
      <alignment horizontal="center" vertical="center"/>
    </xf>
    <xf numFmtId="164" fontId="15" fillId="0" borderId="7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2" fillId="0" borderId="147" xfId="0" applyFont="1" applyBorder="1"/>
    <xf numFmtId="0" fontId="2" fillId="0" borderId="148" xfId="0" applyFont="1" applyBorder="1"/>
    <xf numFmtId="164" fontId="15" fillId="0" borderId="149" xfId="0" applyNumberFormat="1" applyFont="1" applyBorder="1" applyAlignment="1">
      <alignment horizontal="center"/>
    </xf>
    <xf numFmtId="0" fontId="2" fillId="0" borderId="149" xfId="0" applyFont="1" applyBorder="1" applyAlignment="1">
      <alignment horizontal="center"/>
    </xf>
    <xf numFmtId="164" fontId="2" fillId="0" borderId="31" xfId="0" applyNumberFormat="1" applyFont="1" applyBorder="1" applyAlignment="1">
      <alignment horizontal="center"/>
    </xf>
    <xf numFmtId="0" fontId="15" fillId="0" borderId="31" xfId="0" applyFont="1" applyBorder="1" applyAlignment="1">
      <alignment horizontal="center" vertical="center"/>
    </xf>
    <xf numFmtId="164" fontId="2" fillId="0" borderId="31" xfId="0" applyNumberFormat="1" applyFont="1" applyBorder="1" applyAlignment="1">
      <alignment horizontal="center" vertical="center"/>
    </xf>
    <xf numFmtId="164" fontId="15" fillId="0" borderId="151" xfId="0" applyNumberFormat="1" applyFont="1" applyBorder="1" applyAlignment="1">
      <alignment horizontal="center"/>
    </xf>
    <xf numFmtId="0" fontId="5" fillId="0" borderId="152" xfId="0" applyFont="1" applyBorder="1"/>
    <xf numFmtId="0" fontId="15" fillId="0" borderId="152" xfId="0" applyFont="1" applyBorder="1"/>
    <xf numFmtId="0" fontId="2" fillId="0" borderId="152" xfId="0" applyFont="1" applyBorder="1"/>
    <xf numFmtId="0" fontId="15" fillId="0" borderId="153" xfId="0" applyFont="1" applyBorder="1"/>
    <xf numFmtId="0" fontId="2" fillId="0" borderId="157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5" fillId="0" borderId="158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 wrapText="1"/>
    </xf>
    <xf numFmtId="0" fontId="5" fillId="0" borderId="159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4" fillId="0" borderId="154" xfId="0" applyFont="1" applyBorder="1" applyAlignment="1">
      <alignment horizontal="center" vertical="center"/>
    </xf>
    <xf numFmtId="164" fontId="15" fillId="0" borderId="162" xfId="0" applyNumberFormat="1" applyFont="1" applyBorder="1" applyAlignment="1">
      <alignment horizontal="center" vertical="center"/>
    </xf>
    <xf numFmtId="0" fontId="2" fillId="0" borderId="162" xfId="0" applyFont="1" applyBorder="1" applyAlignment="1">
      <alignment horizontal="center" vertical="center"/>
    </xf>
    <xf numFmtId="0" fontId="2" fillId="0" borderId="163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2" fillId="0" borderId="43" xfId="0" applyFont="1" applyBorder="1"/>
    <xf numFmtId="0" fontId="2" fillId="0" borderId="0" xfId="0" applyFont="1" applyAlignment="1">
      <alignment horizontal="center"/>
    </xf>
    <xf numFmtId="0" fontId="5" fillId="0" borderId="0" xfId="0" applyFont="1"/>
    <xf numFmtId="0" fontId="2" fillId="0" borderId="168" xfId="0" applyFont="1" applyBorder="1" applyAlignment="1">
      <alignment horizontal="center" vertical="center"/>
    </xf>
    <xf numFmtId="0" fontId="2" fillId="0" borderId="169" xfId="0" applyFont="1" applyBorder="1" applyAlignment="1">
      <alignment horizontal="center"/>
    </xf>
    <xf numFmtId="0" fontId="2" fillId="0" borderId="3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104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0" borderId="170" xfId="0" applyFont="1" applyBorder="1" applyAlignment="1">
      <alignment horizontal="center" vertical="center"/>
    </xf>
    <xf numFmtId="0" fontId="7" fillId="0" borderId="0" xfId="0" applyFont="1"/>
    <xf numFmtId="0" fontId="10" fillId="0" borderId="0" xfId="0" applyFont="1" applyAlignment="1">
      <alignment horizontal="center" vertical="center"/>
    </xf>
    <xf numFmtId="3" fontId="6" fillId="0" borderId="0" xfId="0" applyNumberFormat="1" applyFont="1"/>
    <xf numFmtId="3" fontId="2" fillId="0" borderId="0" xfId="0" applyNumberFormat="1" applyFont="1" applyAlignment="1">
      <alignment horizontal="center" vertical="center"/>
    </xf>
    <xf numFmtId="0" fontId="6" fillId="0" borderId="2" xfId="0" applyFont="1" applyBorder="1"/>
    <xf numFmtId="0" fontId="2" fillId="0" borderId="108" xfId="0" applyFont="1" applyBorder="1"/>
    <xf numFmtId="0" fontId="5" fillId="0" borderId="0" xfId="0" applyFont="1" applyAlignment="1">
      <alignment horizontal="center" vertical="center" wrapText="1"/>
    </xf>
    <xf numFmtId="0" fontId="2" fillId="0" borderId="177" xfId="0" applyFont="1" applyBorder="1" applyAlignment="1">
      <alignment horizontal="center"/>
    </xf>
    <xf numFmtId="0" fontId="2" fillId="0" borderId="18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82" xfId="0" applyFont="1" applyBorder="1" applyAlignment="1">
      <alignment horizontal="center" vertical="center"/>
    </xf>
    <xf numFmtId="0" fontId="2" fillId="0" borderId="183" xfId="0" applyFont="1" applyBorder="1" applyAlignment="1">
      <alignment horizontal="center"/>
    </xf>
    <xf numFmtId="0" fontId="2" fillId="0" borderId="188" xfId="0" applyFont="1" applyBorder="1" applyAlignment="1">
      <alignment horizontal="center"/>
    </xf>
    <xf numFmtId="164" fontId="2" fillId="0" borderId="189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164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164" fontId="2" fillId="0" borderId="185" xfId="0" applyNumberFormat="1" applyFont="1" applyBorder="1" applyAlignment="1">
      <alignment horizontal="center"/>
    </xf>
    <xf numFmtId="164" fontId="2" fillId="0" borderId="186" xfId="0" applyNumberFormat="1" applyFont="1" applyBorder="1" applyAlignment="1">
      <alignment horizontal="center"/>
    </xf>
    <xf numFmtId="0" fontId="10" fillId="0" borderId="120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169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 wrapText="1"/>
    </xf>
    <xf numFmtId="0" fontId="10" fillId="0" borderId="176" xfId="0" applyFont="1" applyBorder="1" applyAlignment="1">
      <alignment horizontal="center" vertical="center" wrapText="1"/>
    </xf>
    <xf numFmtId="0" fontId="10" fillId="0" borderId="175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/>
    </xf>
    <xf numFmtId="0" fontId="10" fillId="0" borderId="53" xfId="0" applyFont="1" applyBorder="1" applyAlignment="1">
      <alignment horizontal="center" vertical="center"/>
    </xf>
    <xf numFmtId="0" fontId="10" fillId="0" borderId="134" xfId="0" applyFont="1" applyBorder="1" applyAlignment="1">
      <alignment horizontal="center" vertical="center"/>
    </xf>
    <xf numFmtId="0" fontId="10" fillId="0" borderId="120" xfId="0" applyFont="1" applyBorder="1" applyAlignment="1">
      <alignment horizontal="center"/>
    </xf>
    <xf numFmtId="0" fontId="9" fillId="0" borderId="108" xfId="0" applyFont="1" applyBorder="1" applyAlignment="1">
      <alignment horizontal="center" vertical="center"/>
    </xf>
    <xf numFmtId="0" fontId="16" fillId="0" borderId="17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5" fillId="0" borderId="111" xfId="0" applyFont="1" applyBorder="1" applyAlignment="1">
      <alignment horizontal="center" vertical="center"/>
    </xf>
    <xf numFmtId="0" fontId="5" fillId="0" borderId="108" xfId="0" applyFont="1" applyBorder="1" applyAlignment="1">
      <alignment horizontal="center" vertical="center"/>
    </xf>
    <xf numFmtId="0" fontId="5" fillId="0" borderId="12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108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143" xfId="0" applyFont="1" applyBorder="1" applyAlignment="1">
      <alignment horizontal="center"/>
    </xf>
    <xf numFmtId="0" fontId="9" fillId="0" borderId="140" xfId="0" applyFont="1" applyBorder="1" applyAlignment="1">
      <alignment horizontal="center"/>
    </xf>
    <xf numFmtId="0" fontId="12" fillId="0" borderId="31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0" fontId="12" fillId="0" borderId="145" xfId="0" applyFont="1" applyBorder="1" applyAlignment="1">
      <alignment horizontal="center"/>
    </xf>
    <xf numFmtId="0" fontId="9" fillId="0" borderId="142" xfId="0" applyFont="1" applyBorder="1" applyAlignment="1">
      <alignment horizontal="center"/>
    </xf>
    <xf numFmtId="0" fontId="12" fillId="0" borderId="48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" fillId="0" borderId="1" xfId="1" applyFont="1" applyBorder="1" applyAlignment="1">
      <alignment horizontal="center" vertical="center" wrapText="1"/>
    </xf>
    <xf numFmtId="0" fontId="1" fillId="2" borderId="35" xfId="1" applyFont="1" applyFill="1" applyBorder="1" applyAlignment="1">
      <alignment horizontal="center" vertical="center" wrapText="1"/>
    </xf>
    <xf numFmtId="0" fontId="1" fillId="0" borderId="0" xfId="0" applyFont="1"/>
    <xf numFmtId="0" fontId="1" fillId="3" borderId="0" xfId="0" applyFont="1" applyFill="1"/>
    <xf numFmtId="0" fontId="12" fillId="0" borderId="0" xfId="0" applyFont="1"/>
    <xf numFmtId="0" fontId="17" fillId="0" borderId="46" xfId="0" applyFont="1" applyBorder="1"/>
    <xf numFmtId="0" fontId="3" fillId="3" borderId="168" xfId="1" applyFont="1" applyFill="1" applyBorder="1" applyAlignment="1">
      <alignment horizontal="center" vertical="center"/>
    </xf>
    <xf numFmtId="0" fontId="3" fillId="3" borderId="168" xfId="1" applyFont="1" applyFill="1" applyBorder="1" applyAlignment="1">
      <alignment horizontal="center" vertical="center" wrapText="1"/>
    </xf>
    <xf numFmtId="0" fontId="2" fillId="3" borderId="168" xfId="1" applyFill="1" applyBorder="1" applyAlignment="1">
      <alignment horizontal="center" vertical="center"/>
    </xf>
    <xf numFmtId="0" fontId="2" fillId="3" borderId="120" xfId="1" applyFill="1" applyBorder="1" applyAlignment="1">
      <alignment horizontal="center" vertical="center"/>
    </xf>
    <xf numFmtId="0" fontId="3" fillId="3" borderId="112" xfId="1" applyFont="1" applyFill="1" applyBorder="1" applyAlignment="1">
      <alignment horizontal="center" vertical="center"/>
    </xf>
    <xf numFmtId="0" fontId="3" fillId="3" borderId="174" xfId="1" applyFont="1" applyFill="1" applyBorder="1" applyAlignment="1">
      <alignment horizontal="center" vertical="center" wrapText="1"/>
    </xf>
    <xf numFmtId="0" fontId="2" fillId="0" borderId="194" xfId="1" applyBorder="1" applyAlignment="1">
      <alignment horizontal="center" vertical="center"/>
    </xf>
    <xf numFmtId="0" fontId="2" fillId="0" borderId="147" xfId="1" applyBorder="1" applyAlignment="1">
      <alignment horizontal="center" vertical="center"/>
    </xf>
    <xf numFmtId="0" fontId="2" fillId="0" borderId="197" xfId="1" applyBorder="1" applyAlignment="1">
      <alignment horizontal="center" vertical="center"/>
    </xf>
    <xf numFmtId="0" fontId="2" fillId="0" borderId="198" xfId="1" applyBorder="1" applyAlignment="1">
      <alignment horizontal="center" vertical="center"/>
    </xf>
    <xf numFmtId="0" fontId="10" fillId="0" borderId="198" xfId="1" applyFont="1" applyBorder="1" applyAlignment="1">
      <alignment horizontal="center" vertical="center"/>
    </xf>
    <xf numFmtId="0" fontId="2" fillId="0" borderId="199" xfId="1" applyBorder="1" applyAlignment="1">
      <alignment horizontal="center" vertical="center"/>
    </xf>
    <xf numFmtId="0" fontId="7" fillId="0" borderId="149" xfId="0" applyFont="1" applyBorder="1" applyAlignment="1">
      <alignment horizontal="center"/>
    </xf>
    <xf numFmtId="0" fontId="6" fillId="0" borderId="149" xfId="0" applyFont="1" applyBorder="1" applyAlignment="1">
      <alignment horizontal="center"/>
    </xf>
    <xf numFmtId="0" fontId="2" fillId="0" borderId="200" xfId="0" applyFont="1" applyBorder="1" applyAlignment="1">
      <alignment horizontal="center"/>
    </xf>
    <xf numFmtId="0" fontId="1" fillId="0" borderId="120" xfId="0" applyFont="1" applyBorder="1"/>
    <xf numFmtId="0" fontId="1" fillId="0" borderId="120" xfId="0" applyFont="1" applyBorder="1" applyAlignment="1">
      <alignment horizontal="center" vertical="center" wrapText="1"/>
    </xf>
    <xf numFmtId="0" fontId="6" fillId="0" borderId="37" xfId="0" applyFont="1" applyBorder="1"/>
    <xf numFmtId="0" fontId="6" fillId="0" borderId="37" xfId="0" applyFont="1" applyBorder="1" applyAlignment="1">
      <alignment horizontal="center" vertical="center"/>
    </xf>
    <xf numFmtId="0" fontId="6" fillId="0" borderId="14" xfId="0" applyFont="1" applyBorder="1"/>
    <xf numFmtId="0" fontId="1" fillId="0" borderId="128" xfId="0" applyFont="1" applyBorder="1" applyAlignment="1">
      <alignment horizontal="center" wrapText="1"/>
    </xf>
    <xf numFmtId="1" fontId="5" fillId="0" borderId="115" xfId="0" applyNumberFormat="1" applyFont="1" applyBorder="1" applyAlignment="1">
      <alignment horizontal="center" vertical="center"/>
    </xf>
    <xf numFmtId="1" fontId="5" fillId="0" borderId="180" xfId="0" applyNumberFormat="1" applyFont="1" applyBorder="1" applyAlignment="1">
      <alignment horizontal="center" vertical="center"/>
    </xf>
    <xf numFmtId="0" fontId="1" fillId="0" borderId="206" xfId="0" applyFont="1" applyBorder="1" applyAlignment="1">
      <alignment horizontal="center" vertical="center" wrapText="1"/>
    </xf>
    <xf numFmtId="0" fontId="10" fillId="0" borderId="206" xfId="0" applyFont="1" applyBorder="1" applyAlignment="1">
      <alignment horizontal="center" vertical="center" wrapText="1"/>
    </xf>
    <xf numFmtId="0" fontId="1" fillId="0" borderId="120" xfId="0" applyFont="1" applyBorder="1" applyAlignment="1">
      <alignment horizontal="center" vertical="center"/>
    </xf>
    <xf numFmtId="0" fontId="1" fillId="0" borderId="115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05" xfId="0" applyFont="1" applyBorder="1" applyAlignment="1">
      <alignment horizontal="center" vertical="center"/>
    </xf>
    <xf numFmtId="0" fontId="10" fillId="0" borderId="172" xfId="0" applyFont="1" applyBorder="1" applyAlignment="1">
      <alignment horizontal="center" vertical="center"/>
    </xf>
    <xf numFmtId="0" fontId="1" fillId="0" borderId="207" xfId="0" applyFont="1" applyBorder="1" applyAlignment="1">
      <alignment horizontal="center" vertical="center"/>
    </xf>
    <xf numFmtId="0" fontId="1" fillId="0" borderId="208" xfId="0" applyFont="1" applyBorder="1" applyAlignment="1">
      <alignment horizontal="center" vertical="center"/>
    </xf>
    <xf numFmtId="0" fontId="10" fillId="0" borderId="208" xfId="0" applyFont="1" applyBorder="1" applyAlignment="1">
      <alignment horizontal="center" vertical="center"/>
    </xf>
    <xf numFmtId="1" fontId="1" fillId="0" borderId="209" xfId="0" applyNumberFormat="1" applyFont="1" applyBorder="1" applyAlignment="1">
      <alignment horizontal="center" vertical="center"/>
    </xf>
    <xf numFmtId="0" fontId="1" fillId="0" borderId="210" xfId="0" applyFont="1" applyBorder="1" applyAlignment="1">
      <alignment horizontal="center" vertical="center"/>
    </xf>
    <xf numFmtId="0" fontId="1" fillId="0" borderId="211" xfId="0" applyFont="1" applyBorder="1" applyAlignment="1">
      <alignment horizontal="center" vertical="center"/>
    </xf>
    <xf numFmtId="0" fontId="10" fillId="0" borderId="211" xfId="0" applyFont="1" applyBorder="1" applyAlignment="1">
      <alignment horizontal="center" vertical="center"/>
    </xf>
    <xf numFmtId="0" fontId="1" fillId="0" borderId="212" xfId="0" applyFont="1" applyBorder="1" applyAlignment="1">
      <alignment horizontal="center" vertical="center"/>
    </xf>
    <xf numFmtId="0" fontId="1" fillId="0" borderId="213" xfId="0" applyFont="1" applyBorder="1" applyAlignment="1">
      <alignment horizontal="center" vertical="center"/>
    </xf>
    <xf numFmtId="0" fontId="1" fillId="0" borderId="214" xfId="0" applyFont="1" applyBorder="1" applyAlignment="1">
      <alignment horizontal="center" vertical="center"/>
    </xf>
    <xf numFmtId="0" fontId="10" fillId="0" borderId="214" xfId="0" applyFont="1" applyBorder="1" applyAlignment="1">
      <alignment horizontal="center" vertical="center"/>
    </xf>
    <xf numFmtId="0" fontId="1" fillId="0" borderId="215" xfId="0" applyFont="1" applyBorder="1" applyAlignment="1">
      <alignment horizontal="center" vertical="center"/>
    </xf>
    <xf numFmtId="0" fontId="1" fillId="0" borderId="168" xfId="0" applyFont="1" applyBorder="1" applyAlignment="1">
      <alignment horizontal="center" vertical="center" wrapText="1"/>
    </xf>
    <xf numFmtId="0" fontId="5" fillId="0" borderId="120" xfId="0" applyFont="1" applyBorder="1" applyAlignment="1">
      <alignment horizontal="center" vertical="center" wrapText="1"/>
    </xf>
    <xf numFmtId="0" fontId="9" fillId="0" borderId="120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/>
    </xf>
    <xf numFmtId="0" fontId="9" fillId="0" borderId="216" xfId="0" applyFont="1" applyBorder="1" applyAlignment="1">
      <alignment horizontal="center" vertical="center" wrapText="1"/>
    </xf>
    <xf numFmtId="0" fontId="1" fillId="0" borderId="177" xfId="0" applyFont="1" applyBorder="1" applyAlignment="1">
      <alignment horizontal="center" vertical="center"/>
    </xf>
    <xf numFmtId="0" fontId="1" fillId="0" borderId="216" xfId="0" applyFont="1" applyBorder="1" applyAlignment="1">
      <alignment horizontal="center" vertical="center"/>
    </xf>
    <xf numFmtId="0" fontId="5" fillId="0" borderId="217" xfId="0" applyFont="1" applyBorder="1" applyAlignment="1">
      <alignment horizontal="center" vertical="center"/>
    </xf>
    <xf numFmtId="0" fontId="9" fillId="0" borderId="219" xfId="0" applyFont="1" applyBorder="1" applyAlignment="1">
      <alignment horizontal="center" vertical="center" wrapText="1"/>
    </xf>
    <xf numFmtId="0" fontId="1" fillId="0" borderId="218" xfId="0" applyFont="1" applyBorder="1" applyAlignment="1">
      <alignment horizontal="center" vertical="center"/>
    </xf>
    <xf numFmtId="0" fontId="1" fillId="0" borderId="219" xfId="0" applyFont="1" applyBorder="1" applyAlignment="1">
      <alignment horizontal="center" vertical="center"/>
    </xf>
    <xf numFmtId="0" fontId="5" fillId="0" borderId="218" xfId="0" applyFont="1" applyBorder="1" applyAlignment="1">
      <alignment horizontal="center" vertical="center"/>
    </xf>
    <xf numFmtId="0" fontId="9" fillId="0" borderId="221" xfId="0" applyFont="1" applyBorder="1" applyAlignment="1">
      <alignment horizontal="center" vertical="center" wrapText="1"/>
    </xf>
    <xf numFmtId="0" fontId="1" fillId="0" borderId="220" xfId="0" applyFont="1" applyBorder="1" applyAlignment="1">
      <alignment horizontal="center" vertical="center"/>
    </xf>
    <xf numFmtId="0" fontId="1" fillId="0" borderId="221" xfId="0" applyFont="1" applyBorder="1" applyAlignment="1">
      <alignment horizontal="center" vertical="center"/>
    </xf>
    <xf numFmtId="0" fontId="5" fillId="0" borderId="220" xfId="0" applyFont="1" applyBorder="1" applyAlignment="1">
      <alignment horizontal="center" vertical="center"/>
    </xf>
    <xf numFmtId="0" fontId="12" fillId="0" borderId="231" xfId="0" applyFont="1" applyBorder="1" applyAlignment="1">
      <alignment horizontal="center"/>
    </xf>
    <xf numFmtId="0" fontId="6" fillId="0" borderId="226" xfId="0" applyFont="1" applyBorder="1" applyAlignment="1">
      <alignment horizontal="center"/>
    </xf>
    <xf numFmtId="0" fontId="6" fillId="0" borderId="227" xfId="0" applyFont="1" applyBorder="1" applyAlignment="1">
      <alignment horizontal="center"/>
    </xf>
    <xf numFmtId="0" fontId="6" fillId="0" borderId="78" xfId="0" applyFont="1" applyBorder="1" applyAlignment="1">
      <alignment horizontal="center"/>
    </xf>
    <xf numFmtId="0" fontId="6" fillId="0" borderId="228" xfId="0" applyFont="1" applyBorder="1" applyAlignment="1">
      <alignment horizontal="center"/>
    </xf>
    <xf numFmtId="0" fontId="6" fillId="0" borderId="230" xfId="0" applyFont="1" applyBorder="1" applyAlignment="1">
      <alignment horizontal="center"/>
    </xf>
    <xf numFmtId="0" fontId="6" fillId="0" borderId="229" xfId="0" applyFont="1" applyBorder="1" applyAlignment="1">
      <alignment horizontal="center"/>
    </xf>
    <xf numFmtId="0" fontId="6" fillId="2" borderId="225" xfId="0" applyFont="1" applyFill="1" applyBorder="1"/>
    <xf numFmtId="10" fontId="2" fillId="0" borderId="232" xfId="1" applyNumberFormat="1" applyBorder="1" applyAlignment="1">
      <alignment horizontal="center" vertical="center"/>
    </xf>
    <xf numFmtId="0" fontId="3" fillId="3" borderId="233" xfId="1" applyFont="1" applyFill="1" applyBorder="1" applyAlignment="1">
      <alignment horizontal="center" vertical="center"/>
    </xf>
    <xf numFmtId="0" fontId="1" fillId="0" borderId="78" xfId="0" applyFont="1" applyBorder="1" applyAlignment="1">
      <alignment horizontal="center"/>
    </xf>
    <xf numFmtId="0" fontId="1" fillId="0" borderId="226" xfId="0" applyFont="1" applyBorder="1" applyAlignment="1">
      <alignment horizontal="center"/>
    </xf>
    <xf numFmtId="0" fontId="4" fillId="0" borderId="0" xfId="1" applyFont="1" applyAlignment="1">
      <alignment vertical="center"/>
    </xf>
    <xf numFmtId="0" fontId="3" fillId="0" borderId="0" xfId="1" applyFont="1" applyAlignment="1">
      <alignment vertical="center" wrapText="1"/>
    </xf>
    <xf numFmtId="164" fontId="9" fillId="0" borderId="235" xfId="0" applyNumberFormat="1" applyFont="1" applyBorder="1" applyAlignment="1">
      <alignment horizontal="center"/>
    </xf>
    <xf numFmtId="164" fontId="9" fillId="0" borderId="140" xfId="0" applyNumberFormat="1" applyFont="1" applyBorder="1" applyAlignment="1">
      <alignment horizontal="center"/>
    </xf>
    <xf numFmtId="164" fontId="9" fillId="0" borderId="115" xfId="0" applyNumberFormat="1" applyFont="1" applyBorder="1" applyAlignment="1">
      <alignment horizontal="center"/>
    </xf>
    <xf numFmtId="164" fontId="9" fillId="0" borderId="142" xfId="0" applyNumberFormat="1" applyFont="1" applyBorder="1" applyAlignment="1">
      <alignment horizontal="center"/>
    </xf>
    <xf numFmtId="164" fontId="10" fillId="0" borderId="25" xfId="0" applyNumberFormat="1" applyFont="1" applyBorder="1" applyAlignment="1">
      <alignment horizontal="center" vertical="center"/>
    </xf>
    <xf numFmtId="0" fontId="4" fillId="6" borderId="40" xfId="1" applyFont="1" applyFill="1" applyBorder="1" applyAlignment="1">
      <alignment horizontal="center" vertical="center"/>
    </xf>
    <xf numFmtId="0" fontId="4" fillId="6" borderId="0" xfId="1" applyFont="1" applyFill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0" fontId="1" fillId="0" borderId="110" xfId="0" applyFont="1" applyBorder="1" applyAlignment="1">
      <alignment horizontal="center" vertical="center"/>
    </xf>
    <xf numFmtId="0" fontId="19" fillId="0" borderId="239" xfId="0" applyFont="1" applyBorder="1" applyAlignment="1">
      <alignment horizontal="center" vertical="center"/>
    </xf>
    <xf numFmtId="164" fontId="19" fillId="0" borderId="237" xfId="0" applyNumberFormat="1" applyFont="1" applyBorder="1" applyAlignment="1">
      <alignment horizontal="center" vertical="center"/>
    </xf>
    <xf numFmtId="0" fontId="1" fillId="0" borderId="194" xfId="0" applyFont="1" applyBorder="1" applyAlignment="1">
      <alignment horizontal="center" vertical="center"/>
    </xf>
    <xf numFmtId="0" fontId="1" fillId="0" borderId="235" xfId="0" applyFont="1" applyBorder="1" applyAlignment="1">
      <alignment horizontal="center" vertical="center"/>
    </xf>
    <xf numFmtId="0" fontId="1" fillId="0" borderId="147" xfId="0" applyFont="1" applyBorder="1" applyAlignment="1">
      <alignment horizontal="center" vertical="center"/>
    </xf>
    <xf numFmtId="164" fontId="1" fillId="0" borderId="140" xfId="0" applyNumberFormat="1" applyFont="1" applyBorder="1" applyAlignment="1">
      <alignment horizontal="center" vertical="center"/>
    </xf>
    <xf numFmtId="0" fontId="1" fillId="0" borderId="196" xfId="0" applyFont="1" applyBorder="1" applyAlignment="1">
      <alignment horizontal="center" vertical="center"/>
    </xf>
    <xf numFmtId="164" fontId="1" fillId="0" borderId="15" xfId="0" applyNumberFormat="1" applyFont="1" applyBorder="1" applyAlignment="1">
      <alignment horizontal="center" vertical="center"/>
    </xf>
    <xf numFmtId="0" fontId="1" fillId="0" borderId="241" xfId="0" applyFont="1" applyBorder="1" applyAlignment="1">
      <alignment horizontal="center" vertical="center"/>
    </xf>
    <xf numFmtId="164" fontId="1" fillId="0" borderId="235" xfId="0" applyNumberFormat="1" applyFont="1" applyBorder="1" applyAlignment="1">
      <alignment horizontal="center" vertical="center"/>
    </xf>
    <xf numFmtId="0" fontId="18" fillId="0" borderId="0" xfId="0" applyFont="1"/>
    <xf numFmtId="0" fontId="6" fillId="0" borderId="40" xfId="0" applyFont="1" applyBorder="1"/>
    <xf numFmtId="0" fontId="2" fillId="0" borderId="243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12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1" fillId="0" borderId="106" xfId="0" applyFont="1" applyBorder="1" applyAlignment="1">
      <alignment horizontal="center" vertical="center"/>
    </xf>
    <xf numFmtId="0" fontId="1" fillId="0" borderId="130" xfId="0" applyFont="1" applyBorder="1" applyAlignment="1">
      <alignment horizontal="center" vertical="center"/>
    </xf>
    <xf numFmtId="0" fontId="1" fillId="0" borderId="237" xfId="0" applyFont="1" applyBorder="1" applyAlignment="1">
      <alignment horizontal="center" vertical="center"/>
    </xf>
    <xf numFmtId="0" fontId="1" fillId="0" borderId="128" xfId="0" applyFont="1" applyBorder="1" applyAlignment="1">
      <alignment horizontal="center" vertical="center"/>
    </xf>
    <xf numFmtId="0" fontId="1" fillId="0" borderId="131" xfId="0" applyFont="1" applyBorder="1" applyAlignment="1">
      <alignment horizontal="center" vertical="center"/>
    </xf>
    <xf numFmtId="0" fontId="1" fillId="0" borderId="126" xfId="0" applyFont="1" applyBorder="1" applyAlignment="1">
      <alignment horizontal="center" vertical="center"/>
    </xf>
    <xf numFmtId="0" fontId="1" fillId="0" borderId="133" xfId="0" applyFont="1" applyBorder="1" applyAlignment="1">
      <alignment horizontal="center" vertical="center"/>
    </xf>
    <xf numFmtId="0" fontId="1" fillId="0" borderId="170" xfId="0" applyFont="1" applyBorder="1" applyAlignment="1">
      <alignment horizontal="center" vertical="center"/>
    </xf>
    <xf numFmtId="0" fontId="1" fillId="0" borderId="245" xfId="0" applyFont="1" applyBorder="1" applyAlignment="1">
      <alignment horizontal="center" vertical="center"/>
    </xf>
    <xf numFmtId="0" fontId="1" fillId="0" borderId="206" xfId="0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1" fillId="0" borderId="78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25" xfId="0" applyFont="1" applyBorder="1" applyAlignment="1">
      <alignment horizontal="center" vertical="center"/>
    </xf>
    <xf numFmtId="0" fontId="1" fillId="0" borderId="246" xfId="0" applyFont="1" applyBorder="1" applyAlignment="1">
      <alignment horizontal="center" vertical="center"/>
    </xf>
    <xf numFmtId="0" fontId="9" fillId="0" borderId="249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9" fillId="0" borderId="110" xfId="0" applyFont="1" applyBorder="1" applyAlignment="1">
      <alignment horizontal="center"/>
    </xf>
    <xf numFmtId="0" fontId="9" fillId="0" borderId="250" xfId="1" applyFont="1" applyBorder="1" applyAlignment="1">
      <alignment horizontal="center" vertical="center"/>
    </xf>
    <xf numFmtId="0" fontId="1" fillId="0" borderId="251" xfId="0" applyFont="1" applyBorder="1" applyAlignment="1">
      <alignment horizontal="center" vertical="center"/>
    </xf>
    <xf numFmtId="0" fontId="2" fillId="0" borderId="250" xfId="1" applyBorder="1" applyAlignment="1">
      <alignment horizontal="center" vertical="center"/>
    </xf>
    <xf numFmtId="0" fontId="2" fillId="0" borderId="252" xfId="1" applyBorder="1" applyAlignment="1">
      <alignment horizontal="center" vertical="center"/>
    </xf>
    <xf numFmtId="0" fontId="2" fillId="0" borderId="168" xfId="1" applyBorder="1" applyAlignment="1">
      <alignment horizontal="center" vertical="center"/>
    </xf>
    <xf numFmtId="0" fontId="10" fillId="0" borderId="247" xfId="0" applyFont="1" applyBorder="1" applyAlignment="1">
      <alignment horizontal="center" vertical="center"/>
    </xf>
    <xf numFmtId="164" fontId="1" fillId="0" borderId="142" xfId="0" applyNumberFormat="1" applyFont="1" applyBorder="1" applyAlignment="1">
      <alignment horizontal="center" vertical="center"/>
    </xf>
    <xf numFmtId="0" fontId="9" fillId="0" borderId="95" xfId="0" applyFont="1" applyBorder="1" applyAlignment="1">
      <alignment horizontal="center" vertical="center"/>
    </xf>
    <xf numFmtId="164" fontId="9" fillId="0" borderId="37" xfId="0" applyNumberFormat="1" applyFont="1" applyBorder="1" applyAlignment="1">
      <alignment horizontal="center"/>
    </xf>
    <xf numFmtId="0" fontId="1" fillId="0" borderId="69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253" xfId="0" applyFont="1" applyBorder="1" applyAlignment="1">
      <alignment horizontal="center" vertical="center"/>
    </xf>
    <xf numFmtId="0" fontId="9" fillId="0" borderId="254" xfId="0" applyFont="1" applyBorder="1" applyAlignment="1">
      <alignment horizontal="center" vertical="center"/>
    </xf>
    <xf numFmtId="164" fontId="9" fillId="0" borderId="255" xfId="0" applyNumberFormat="1" applyFont="1" applyBorder="1" applyAlignment="1">
      <alignment horizontal="center"/>
    </xf>
    <xf numFmtId="0" fontId="1" fillId="0" borderId="256" xfId="0" applyFont="1" applyBorder="1" applyAlignment="1">
      <alignment horizontal="center" vertical="center"/>
    </xf>
    <xf numFmtId="0" fontId="1" fillId="0" borderId="255" xfId="0" applyFont="1" applyBorder="1" applyAlignment="1">
      <alignment horizontal="center" vertical="center"/>
    </xf>
    <xf numFmtId="0" fontId="19" fillId="0" borderId="240" xfId="0" applyFont="1" applyBorder="1" applyAlignment="1">
      <alignment horizontal="center" vertical="center"/>
    </xf>
    <xf numFmtId="164" fontId="19" fillId="0" borderId="180" xfId="0" applyNumberFormat="1" applyFont="1" applyBorder="1" applyAlignment="1">
      <alignment horizontal="center" vertical="center"/>
    </xf>
    <xf numFmtId="0" fontId="10" fillId="0" borderId="257" xfId="0" applyFont="1" applyBorder="1" applyAlignment="1">
      <alignment horizontal="center" vertical="center"/>
    </xf>
    <xf numFmtId="164" fontId="10" fillId="0" borderId="180" xfId="0" applyNumberFormat="1" applyFont="1" applyBorder="1" applyAlignment="1">
      <alignment horizontal="center"/>
    </xf>
    <xf numFmtId="0" fontId="9" fillId="0" borderId="119" xfId="0" applyFont="1" applyBorder="1" applyAlignment="1">
      <alignment horizontal="center"/>
    </xf>
    <xf numFmtId="164" fontId="9" fillId="0" borderId="165" xfId="0" applyNumberFormat="1" applyFont="1" applyBorder="1" applyAlignment="1">
      <alignment horizontal="center"/>
    </xf>
    <xf numFmtId="0" fontId="1" fillId="0" borderId="52" xfId="0" applyFont="1" applyBorder="1" applyAlignment="1">
      <alignment horizontal="center" vertical="center"/>
    </xf>
    <xf numFmtId="0" fontId="1" fillId="0" borderId="171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49" xfId="0" applyFont="1" applyBorder="1" applyAlignment="1">
      <alignment horizontal="center"/>
    </xf>
    <xf numFmtId="0" fontId="12" fillId="0" borderId="144" xfId="0" applyFont="1" applyBorder="1" applyAlignment="1">
      <alignment horizontal="center"/>
    </xf>
    <xf numFmtId="0" fontId="9" fillId="0" borderId="141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" fillId="0" borderId="112" xfId="0" quotePrefix="1" applyFont="1" applyBorder="1" applyAlignment="1">
      <alignment horizontal="center" vertical="center"/>
    </xf>
    <xf numFmtId="0" fontId="1" fillId="0" borderId="108" xfId="0" quotePrefix="1" applyFont="1" applyBorder="1" applyAlignment="1">
      <alignment horizontal="center" vertical="center"/>
    </xf>
    <xf numFmtId="0" fontId="1" fillId="0" borderId="115" xfId="0" quotePrefix="1" applyFont="1" applyBorder="1" applyAlignment="1">
      <alignment horizontal="center" vertical="center"/>
    </xf>
    <xf numFmtId="0" fontId="1" fillId="0" borderId="112" xfId="0" applyFont="1" applyBorder="1" applyAlignment="1">
      <alignment horizontal="center"/>
    </xf>
    <xf numFmtId="0" fontId="1" fillId="0" borderId="108" xfId="0" applyFont="1" applyBorder="1" applyAlignment="1">
      <alignment horizontal="center"/>
    </xf>
    <xf numFmtId="0" fontId="1" fillId="0" borderId="111" xfId="0" applyFont="1" applyBorder="1" applyAlignment="1">
      <alignment horizontal="center"/>
    </xf>
    <xf numFmtId="0" fontId="1" fillId="0" borderId="115" xfId="0" applyFont="1" applyBorder="1" applyAlignment="1">
      <alignment horizontal="center"/>
    </xf>
    <xf numFmtId="0" fontId="1" fillId="0" borderId="129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0" fontId="1" fillId="0" borderId="42" xfId="0" applyFont="1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1" fillId="0" borderId="134" xfId="0" applyFont="1" applyBorder="1" applyAlignment="1">
      <alignment horizontal="center" vertical="center"/>
    </xf>
    <xf numFmtId="0" fontId="1" fillId="0" borderId="168" xfId="0" applyFont="1" applyBorder="1" applyAlignment="1">
      <alignment horizontal="center" vertical="center"/>
    </xf>
    <xf numFmtId="0" fontId="9" fillId="0" borderId="203" xfId="0" applyFont="1" applyBorder="1" applyAlignment="1">
      <alignment horizontal="center"/>
    </xf>
    <xf numFmtId="164" fontId="1" fillId="0" borderId="218" xfId="0" applyNumberFormat="1" applyFont="1" applyBorder="1" applyAlignment="1">
      <alignment horizontal="center" vertical="center"/>
    </xf>
    <xf numFmtId="164" fontId="1" fillId="0" borderId="177" xfId="0" applyNumberFormat="1" applyFont="1" applyBorder="1" applyAlignment="1">
      <alignment horizontal="center" vertical="center"/>
    </xf>
    <xf numFmtId="164" fontId="1" fillId="0" borderId="220" xfId="0" applyNumberFormat="1" applyFont="1" applyBorder="1" applyAlignment="1">
      <alignment horizontal="center" vertical="center"/>
    </xf>
    <xf numFmtId="164" fontId="1" fillId="0" borderId="43" xfId="0" applyNumberFormat="1" applyFont="1" applyBorder="1" applyAlignment="1">
      <alignment horizontal="center" vertical="center"/>
    </xf>
    <xf numFmtId="164" fontId="1" fillId="0" borderId="216" xfId="0" applyNumberFormat="1" applyFont="1" applyBorder="1" applyAlignment="1">
      <alignment horizontal="center" vertical="center"/>
    </xf>
    <xf numFmtId="164" fontId="1" fillId="0" borderId="219" xfId="0" applyNumberFormat="1" applyFont="1" applyBorder="1" applyAlignment="1">
      <alignment horizontal="center" vertical="center"/>
    </xf>
    <xf numFmtId="164" fontId="1" fillId="0" borderId="221" xfId="0" applyNumberFormat="1" applyFont="1" applyBorder="1" applyAlignment="1">
      <alignment horizontal="center" vertical="center"/>
    </xf>
    <xf numFmtId="164" fontId="1" fillId="0" borderId="120" xfId="0" applyNumberFormat="1" applyFont="1" applyBorder="1" applyAlignment="1">
      <alignment horizontal="center" vertical="center"/>
    </xf>
    <xf numFmtId="164" fontId="5" fillId="0" borderId="217" xfId="0" applyNumberFormat="1" applyFont="1" applyBorder="1" applyAlignment="1">
      <alignment horizontal="center" vertical="center"/>
    </xf>
    <xf numFmtId="164" fontId="5" fillId="0" borderId="218" xfId="0" applyNumberFormat="1" applyFont="1" applyBorder="1" applyAlignment="1">
      <alignment horizontal="center" vertical="center"/>
    </xf>
    <xf numFmtId="164" fontId="5" fillId="0" borderId="220" xfId="0" applyNumberFormat="1" applyFont="1" applyBorder="1" applyAlignment="1">
      <alignment horizontal="center" vertical="center"/>
    </xf>
    <xf numFmtId="0" fontId="1" fillId="0" borderId="108" xfId="0" applyFont="1" applyBorder="1" applyAlignment="1">
      <alignment horizontal="center" vertical="center"/>
    </xf>
    <xf numFmtId="0" fontId="2" fillId="0" borderId="201" xfId="0" applyFont="1" applyBorder="1" applyAlignment="1">
      <alignment horizontal="center" vertical="center"/>
    </xf>
    <xf numFmtId="0" fontId="2" fillId="0" borderId="173" xfId="0" applyFont="1" applyBorder="1" applyAlignment="1">
      <alignment horizontal="center" vertical="center"/>
    </xf>
    <xf numFmtId="0" fontId="0" fillId="0" borderId="14" xfId="0" applyBorder="1"/>
    <xf numFmtId="0" fontId="0" fillId="0" borderId="16" xfId="0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0" fontId="5" fillId="0" borderId="32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37" xfId="0" applyNumberFormat="1" applyFont="1" applyBorder="1" applyAlignment="1">
      <alignment horizontal="center"/>
    </xf>
    <xf numFmtId="0" fontId="1" fillId="0" borderId="37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20" fillId="0" borderId="3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4" fontId="1" fillId="0" borderId="14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5" fillId="0" borderId="37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3" fontId="20" fillId="0" borderId="0" xfId="0" applyNumberFormat="1" applyFont="1"/>
    <xf numFmtId="164" fontId="20" fillId="0" borderId="0" xfId="0" applyNumberFormat="1" applyFont="1"/>
    <xf numFmtId="0" fontId="20" fillId="0" borderId="0" xfId="0" applyFont="1"/>
    <xf numFmtId="3" fontId="5" fillId="0" borderId="0" xfId="0" applyNumberFormat="1" applyFont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164" fontId="1" fillId="0" borderId="52" xfId="0" applyNumberFormat="1" applyFont="1" applyBorder="1" applyAlignment="1">
      <alignment horizontal="center" vertical="center"/>
    </xf>
    <xf numFmtId="164" fontId="5" fillId="0" borderId="52" xfId="0" applyNumberFormat="1" applyFont="1" applyBorder="1" applyAlignment="1">
      <alignment horizontal="center" vertical="center"/>
    </xf>
    <xf numFmtId="0" fontId="21" fillId="0" borderId="0" xfId="0" applyFont="1"/>
    <xf numFmtId="1" fontId="1" fillId="0" borderId="0" xfId="0" applyNumberFormat="1" applyFont="1"/>
    <xf numFmtId="164" fontId="0" fillId="0" borderId="0" xfId="0" applyNumberFormat="1"/>
    <xf numFmtId="0" fontId="0" fillId="0" borderId="108" xfId="0" applyBorder="1"/>
    <xf numFmtId="0" fontId="0" fillId="0" borderId="108" xfId="0" applyBorder="1" applyAlignment="1">
      <alignment horizontal="center"/>
    </xf>
    <xf numFmtId="0" fontId="0" fillId="0" borderId="43" xfId="0" applyBorder="1"/>
    <xf numFmtId="0" fontId="0" fillId="0" borderId="120" xfId="0" applyBorder="1"/>
    <xf numFmtId="0" fontId="0" fillId="0" borderId="168" xfId="0" applyBorder="1" applyAlignment="1">
      <alignment horizontal="center"/>
    </xf>
    <xf numFmtId="0" fontId="0" fillId="0" borderId="170" xfId="0" applyBorder="1" applyAlignment="1">
      <alignment horizontal="center"/>
    </xf>
    <xf numFmtId="0" fontId="0" fillId="0" borderId="1" xfId="0" applyBorder="1"/>
    <xf numFmtId="2" fontId="5" fillId="0" borderId="40" xfId="0" applyNumberFormat="1" applyFont="1" applyBorder="1" applyAlignment="1">
      <alignment horizontal="center" vertical="center"/>
    </xf>
    <xf numFmtId="2" fontId="0" fillId="0" borderId="0" xfId="0" applyNumberFormat="1"/>
    <xf numFmtId="0" fontId="22" fillId="0" borderId="0" xfId="0" applyFont="1"/>
    <xf numFmtId="0" fontId="22" fillId="0" borderId="104" xfId="0" applyFont="1" applyBorder="1"/>
    <xf numFmtId="0" fontId="0" fillId="0" borderId="32" xfId="0" applyBorder="1"/>
    <xf numFmtId="3" fontId="0" fillId="0" borderId="32" xfId="0" applyNumberFormat="1" applyBorder="1"/>
    <xf numFmtId="3" fontId="0" fillId="0" borderId="33" xfId="0" applyNumberFormat="1" applyBorder="1"/>
    <xf numFmtId="0" fontId="0" fillId="0" borderId="129" xfId="0" applyBorder="1"/>
    <xf numFmtId="0" fontId="0" fillId="0" borderId="12" xfId="0" applyBorder="1"/>
    <xf numFmtId="43" fontId="0" fillId="0" borderId="15" xfId="2" applyFont="1" applyBorder="1"/>
    <xf numFmtId="0" fontId="0" fillId="0" borderId="55" xfId="0" applyBorder="1"/>
    <xf numFmtId="0" fontId="0" fillId="0" borderId="135" xfId="0" applyBorder="1"/>
    <xf numFmtId="43" fontId="0" fillId="0" borderId="128" xfId="2" applyFont="1" applyBorder="1"/>
    <xf numFmtId="164" fontId="0" fillId="0" borderId="171" xfId="0" applyNumberFormat="1" applyBorder="1"/>
    <xf numFmtId="0" fontId="0" fillId="0" borderId="171" xfId="0" applyBorder="1"/>
    <xf numFmtId="0" fontId="0" fillId="0" borderId="179" xfId="0" applyBorder="1"/>
    <xf numFmtId="0" fontId="0" fillId="0" borderId="0" xfId="0" applyAlignment="1">
      <alignment horizontal="center"/>
    </xf>
    <xf numFmtId="43" fontId="0" fillId="0" borderId="0" xfId="0" applyNumberFormat="1"/>
    <xf numFmtId="0" fontId="1" fillId="0" borderId="170" xfId="0" applyFont="1" applyBorder="1" applyAlignment="1">
      <alignment horizontal="center"/>
    </xf>
    <xf numFmtId="0" fontId="5" fillId="0" borderId="170" xfId="0" applyFont="1" applyBorder="1" applyAlignment="1">
      <alignment horizontal="center"/>
    </xf>
    <xf numFmtId="1" fontId="1" fillId="0" borderId="170" xfId="0" applyNumberFormat="1" applyFont="1" applyBorder="1" applyAlignment="1">
      <alignment horizontal="center"/>
    </xf>
    <xf numFmtId="0" fontId="1" fillId="0" borderId="170" xfId="0" applyFont="1" applyBorder="1"/>
    <xf numFmtId="164" fontId="1" fillId="0" borderId="170" xfId="0" applyNumberFormat="1" applyFont="1" applyBorder="1"/>
    <xf numFmtId="164" fontId="5" fillId="0" borderId="170" xfId="0" applyNumberFormat="1" applyFont="1" applyBorder="1"/>
    <xf numFmtId="0" fontId="0" fillId="0" borderId="37" xfId="0" applyBorder="1"/>
    <xf numFmtId="0" fontId="1" fillId="4" borderId="2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3" fillId="3" borderId="271" xfId="0" applyFont="1" applyFill="1" applyBorder="1" applyAlignment="1">
      <alignment horizontal="center" vertical="center"/>
    </xf>
    <xf numFmtId="0" fontId="1" fillId="3" borderId="93" xfId="0" applyFont="1" applyFill="1" applyBorder="1"/>
    <xf numFmtId="0" fontId="1" fillId="3" borderId="88" xfId="0" applyFont="1" applyFill="1" applyBorder="1"/>
    <xf numFmtId="0" fontId="1" fillId="3" borderId="176" xfId="0" applyFont="1" applyFill="1" applyBorder="1"/>
    <xf numFmtId="0" fontId="0" fillId="3" borderId="90" xfId="0" applyFill="1" applyBorder="1"/>
    <xf numFmtId="0" fontId="6" fillId="0" borderId="265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269" xfId="0" applyFont="1" applyBorder="1" applyAlignment="1">
      <alignment horizontal="center" vertical="center"/>
    </xf>
    <xf numFmtId="0" fontId="0" fillId="0" borderId="142" xfId="0" applyBorder="1" applyAlignment="1">
      <alignment horizontal="center" vertical="center"/>
    </xf>
    <xf numFmtId="0" fontId="6" fillId="0" borderId="262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70" xfId="0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0" fontId="6" fillId="0" borderId="114" xfId="0" applyFont="1" applyBorder="1" applyAlignment="1">
      <alignment horizontal="center" vertical="center"/>
    </xf>
    <xf numFmtId="0" fontId="6" fillId="0" borderId="120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72" xfId="0" applyBorder="1" applyAlignment="1">
      <alignment horizontal="center" vertical="center"/>
    </xf>
    <xf numFmtId="0" fontId="6" fillId="0" borderId="162" xfId="0" applyFont="1" applyBorder="1" applyAlignment="1">
      <alignment horizontal="center" vertical="center"/>
    </xf>
    <xf numFmtId="0" fontId="0" fillId="0" borderId="202" xfId="0" applyBorder="1" applyAlignment="1">
      <alignment horizontal="center" vertical="center"/>
    </xf>
    <xf numFmtId="0" fontId="1" fillId="4" borderId="273" xfId="0" applyFont="1" applyFill="1" applyBorder="1" applyAlignment="1">
      <alignment horizontal="center" vertical="center"/>
    </xf>
    <xf numFmtId="0" fontId="1" fillId="4" borderId="266" xfId="0" applyFont="1" applyFill="1" applyBorder="1" applyAlignment="1">
      <alignment horizontal="center" vertical="center"/>
    </xf>
    <xf numFmtId="0" fontId="1" fillId="4" borderId="264" xfId="0" applyFont="1" applyFill="1" applyBorder="1" applyAlignment="1">
      <alignment horizontal="center" vertical="center"/>
    </xf>
    <xf numFmtId="0" fontId="1" fillId="4" borderId="267" xfId="0" applyFont="1" applyFill="1" applyBorder="1" applyAlignment="1">
      <alignment horizontal="center" vertical="center"/>
    </xf>
    <xf numFmtId="0" fontId="1" fillId="0" borderId="268" xfId="0" applyFont="1" applyBorder="1" applyAlignment="1">
      <alignment horizontal="left" vertical="center"/>
    </xf>
    <xf numFmtId="0" fontId="1" fillId="0" borderId="263" xfId="0" applyFont="1" applyBorder="1" applyAlignment="1">
      <alignment horizontal="left" vertical="center"/>
    </xf>
    <xf numFmtId="0" fontId="1" fillId="0" borderId="13" xfId="0" applyFont="1" applyBorder="1" applyAlignment="1">
      <alignment horizontal="left"/>
    </xf>
    <xf numFmtId="0" fontId="0" fillId="0" borderId="27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274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1" fillId="0" borderId="134" xfId="0" applyFont="1" applyBorder="1" applyAlignment="1">
      <alignment horizontal="left" vertical="center"/>
    </xf>
    <xf numFmtId="0" fontId="24" fillId="0" borderId="220" xfId="0" applyFont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9" fillId="7" borderId="216" xfId="0" applyFont="1" applyFill="1" applyBorder="1" applyAlignment="1">
      <alignment horizontal="center" vertical="center" wrapText="1"/>
    </xf>
    <xf numFmtId="0" fontId="9" fillId="7" borderId="219" xfId="0" applyFont="1" applyFill="1" applyBorder="1" applyAlignment="1">
      <alignment horizontal="center" vertical="center" wrapText="1"/>
    </xf>
    <xf numFmtId="0" fontId="9" fillId="7" borderId="120" xfId="0" applyFont="1" applyFill="1" applyBorder="1" applyAlignment="1">
      <alignment horizontal="center" vertical="center" wrapText="1"/>
    </xf>
    <xf numFmtId="164" fontId="5" fillId="0" borderId="0" xfId="0" applyNumberFormat="1" applyFont="1"/>
    <xf numFmtId="0" fontId="24" fillId="0" borderId="2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" fillId="0" borderId="62" xfId="1" applyFont="1" applyBorder="1" applyAlignment="1">
      <alignment horizontal="center" vertical="center"/>
    </xf>
    <xf numFmtId="0" fontId="3" fillId="0" borderId="64" xfId="1" applyFont="1" applyBorder="1" applyAlignment="1">
      <alignment horizontal="center" vertical="center"/>
    </xf>
    <xf numFmtId="0" fontId="3" fillId="0" borderId="57" xfId="1" applyFont="1" applyBorder="1" applyAlignment="1">
      <alignment horizontal="center" vertical="center"/>
    </xf>
    <xf numFmtId="0" fontId="3" fillId="0" borderId="58" xfId="1" applyFont="1" applyBorder="1" applyAlignment="1">
      <alignment horizontal="center" vertical="center"/>
    </xf>
    <xf numFmtId="0" fontId="3" fillId="0" borderId="56" xfId="1" applyFont="1" applyBorder="1" applyAlignment="1">
      <alignment horizontal="center" vertical="center" wrapText="1"/>
    </xf>
    <xf numFmtId="0" fontId="2" fillId="0" borderId="59" xfId="1" applyBorder="1" applyAlignment="1">
      <alignment horizontal="center" vertical="center"/>
    </xf>
    <xf numFmtId="0" fontId="2" fillId="0" borderId="60" xfId="1" applyBorder="1" applyAlignment="1">
      <alignment horizontal="center" vertical="center"/>
    </xf>
    <xf numFmtId="0" fontId="2" fillId="0" borderId="58" xfId="1" applyBorder="1" applyAlignment="1">
      <alignment horizontal="center" vertical="center"/>
    </xf>
    <xf numFmtId="0" fontId="2" fillId="0" borderId="61" xfId="1" applyBorder="1" applyAlignment="1">
      <alignment horizontal="center" vertical="center"/>
    </xf>
    <xf numFmtId="0" fontId="2" fillId="0" borderId="53" xfId="0" applyFont="1" applyBorder="1"/>
    <xf numFmtId="164" fontId="2" fillId="0" borderId="73" xfId="0" applyNumberFormat="1" applyFont="1" applyBorder="1" applyAlignment="1">
      <alignment horizontal="center"/>
    </xf>
    <xf numFmtId="164" fontId="2" fillId="0" borderId="42" xfId="0" applyNumberFormat="1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1" fillId="0" borderId="53" xfId="0" applyFont="1" applyBorder="1"/>
    <xf numFmtId="0" fontId="2" fillId="0" borderId="6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8" xfId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6" fillId="0" borderId="32" xfId="0" applyFont="1" applyBorder="1"/>
    <xf numFmtId="3" fontId="2" fillId="0" borderId="10" xfId="1" applyNumberFormat="1" applyBorder="1" applyAlignment="1">
      <alignment horizontal="center" vertical="center"/>
    </xf>
    <xf numFmtId="0" fontId="2" fillId="0" borderId="18" xfId="1" applyBorder="1" applyAlignment="1">
      <alignment horizontal="center" vertical="center"/>
    </xf>
    <xf numFmtId="0" fontId="2" fillId="0" borderId="35" xfId="1" applyBorder="1" applyAlignment="1">
      <alignment horizontal="center" vertical="center"/>
    </xf>
    <xf numFmtId="0" fontId="1" fillId="0" borderId="35" xfId="0" applyFont="1" applyBorder="1" applyAlignment="1">
      <alignment horizontal="center" wrapText="1"/>
    </xf>
    <xf numFmtId="0" fontId="1" fillId="0" borderId="198" xfId="1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/>
    </xf>
    <xf numFmtId="0" fontId="25" fillId="0" borderId="53" xfId="0" applyFont="1" applyBorder="1"/>
    <xf numFmtId="0" fontId="25" fillId="0" borderId="43" xfId="0" applyFont="1" applyBorder="1" applyAlignment="1">
      <alignment horizontal="center"/>
    </xf>
    <xf numFmtId="0" fontId="25" fillId="0" borderId="177" xfId="0" applyFont="1" applyBorder="1" applyAlignment="1">
      <alignment horizontal="center"/>
    </xf>
    <xf numFmtId="164" fontId="25" fillId="0" borderId="43" xfId="0" applyNumberFormat="1" applyFont="1" applyBorder="1" applyAlignment="1">
      <alignment horizontal="center"/>
    </xf>
    <xf numFmtId="0" fontId="25" fillId="0" borderId="63" xfId="0" applyFont="1" applyBorder="1"/>
    <xf numFmtId="0" fontId="25" fillId="0" borderId="55" xfId="0" applyFont="1" applyBorder="1" applyAlignment="1">
      <alignment horizontal="center"/>
    </xf>
    <xf numFmtId="0" fontId="25" fillId="0" borderId="178" xfId="0" applyFont="1" applyBorder="1" applyAlignment="1">
      <alignment horizontal="center"/>
    </xf>
    <xf numFmtId="0" fontId="25" fillId="0" borderId="5" xfId="1" applyFont="1" applyBorder="1" applyAlignment="1">
      <alignment horizontal="center" vertical="center" wrapText="1"/>
    </xf>
    <xf numFmtId="0" fontId="25" fillId="0" borderId="35" xfId="1" applyFont="1" applyBorder="1" applyAlignment="1">
      <alignment horizontal="center" vertical="center" wrapText="1"/>
    </xf>
    <xf numFmtId="0" fontId="2" fillId="0" borderId="40" xfId="0" applyFont="1" applyBorder="1"/>
    <xf numFmtId="0" fontId="1" fillId="9" borderId="7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164" fontId="9" fillId="9" borderId="7" xfId="0" applyNumberFormat="1" applyFont="1" applyFill="1" applyBorder="1" applyAlignment="1">
      <alignment horizontal="center" vertical="center"/>
    </xf>
    <xf numFmtId="0" fontId="9" fillId="9" borderId="224" xfId="0" applyFont="1" applyFill="1" applyBorder="1" applyAlignment="1">
      <alignment horizontal="center" vertical="center"/>
    </xf>
    <xf numFmtId="164" fontId="9" fillId="9" borderId="224" xfId="0" applyNumberFormat="1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/>
    </xf>
    <xf numFmtId="0" fontId="1" fillId="9" borderId="162" xfId="0" applyFont="1" applyFill="1" applyBorder="1" applyAlignment="1">
      <alignment horizontal="center" vertical="center"/>
    </xf>
    <xf numFmtId="0" fontId="1" fillId="9" borderId="277" xfId="0" applyFont="1" applyFill="1" applyBorder="1" applyAlignment="1">
      <alignment horizontal="center" vertical="center"/>
    </xf>
    <xf numFmtId="0" fontId="1" fillId="9" borderId="278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43" fontId="2" fillId="0" borderId="31" xfId="2" applyFont="1" applyBorder="1" applyAlignment="1">
      <alignment horizontal="center"/>
    </xf>
    <xf numFmtId="43" fontId="2" fillId="0" borderId="7" xfId="2" applyFont="1" applyBorder="1" applyAlignment="1">
      <alignment horizontal="center"/>
    </xf>
    <xf numFmtId="43" fontId="15" fillId="0" borderId="31" xfId="2" applyFont="1" applyBorder="1" applyAlignment="1">
      <alignment horizontal="center" vertical="center"/>
    </xf>
    <xf numFmtId="43" fontId="15" fillId="0" borderId="7" xfId="2" applyFont="1" applyBorder="1" applyAlignment="1">
      <alignment horizontal="center" vertical="center"/>
    </xf>
    <xf numFmtId="43" fontId="2" fillId="0" borderId="31" xfId="2" applyFont="1" applyBorder="1" applyAlignment="1">
      <alignment horizontal="center" vertical="center"/>
    </xf>
    <xf numFmtId="43" fontId="2" fillId="0" borderId="7" xfId="2" applyFont="1" applyBorder="1" applyAlignment="1">
      <alignment horizontal="center" vertical="center"/>
    </xf>
    <xf numFmtId="43" fontId="15" fillId="0" borderId="151" xfId="2" applyFont="1" applyBorder="1" applyAlignment="1">
      <alignment horizontal="center"/>
    </xf>
    <xf numFmtId="43" fontId="15" fillId="0" borderId="149" xfId="2" applyFont="1" applyBorder="1" applyAlignment="1">
      <alignment horizontal="center"/>
    </xf>
    <xf numFmtId="0" fontId="1" fillId="9" borderId="224" xfId="0" applyFont="1" applyFill="1" applyBorder="1" applyAlignment="1">
      <alignment horizontal="center" vertical="center"/>
    </xf>
    <xf numFmtId="0" fontId="1" fillId="9" borderId="224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43" fontId="14" fillId="0" borderId="0" xfId="2" applyFont="1" applyBorder="1" applyAlignment="1">
      <alignment horizontal="center" vertical="center"/>
    </xf>
    <xf numFmtId="164" fontId="9" fillId="0" borderId="143" xfId="0" applyNumberFormat="1" applyFont="1" applyBorder="1" applyAlignment="1">
      <alignment horizontal="center"/>
    </xf>
    <xf numFmtId="164" fontId="9" fillId="0" borderId="143" xfId="0" applyNumberFormat="1" applyFont="1" applyBorder="1" applyAlignment="1">
      <alignment horizontal="center" vertical="center"/>
    </xf>
    <xf numFmtId="0" fontId="1" fillId="0" borderId="1" xfId="0" applyFont="1" applyBorder="1"/>
    <xf numFmtId="0" fontId="1" fillId="9" borderId="143" xfId="0" applyFont="1" applyFill="1" applyBorder="1" applyAlignment="1">
      <alignment horizontal="center" vertical="center"/>
    </xf>
    <xf numFmtId="0" fontId="1" fillId="9" borderId="270" xfId="0" applyFont="1" applyFill="1" applyBorder="1" applyAlignment="1">
      <alignment horizontal="center" vertical="center"/>
    </xf>
    <xf numFmtId="0" fontId="1" fillId="9" borderId="270" xfId="0" quotePrefix="1" applyFont="1" applyFill="1" applyBorder="1" applyAlignment="1">
      <alignment horizontal="center" vertical="center"/>
    </xf>
    <xf numFmtId="0" fontId="1" fillId="9" borderId="258" xfId="0" applyFont="1" applyFill="1" applyBorder="1" applyAlignment="1">
      <alignment horizontal="center" vertical="center"/>
    </xf>
    <xf numFmtId="0" fontId="5" fillId="8" borderId="46" xfId="0" applyFont="1" applyFill="1" applyBorder="1" applyAlignment="1">
      <alignment horizontal="center" vertical="center"/>
    </xf>
    <xf numFmtId="0" fontId="5" fillId="8" borderId="145" xfId="0" applyFont="1" applyFill="1" applyBorder="1" applyAlignment="1">
      <alignment horizontal="center" vertical="center"/>
    </xf>
    <xf numFmtId="43" fontId="1" fillId="0" borderId="37" xfId="0" applyNumberFormat="1" applyFont="1" applyBorder="1" applyAlignment="1">
      <alignment horizontal="center" vertical="center"/>
    </xf>
    <xf numFmtId="0" fontId="5" fillId="0" borderId="170" xfId="0" applyFont="1" applyBorder="1" applyAlignment="1">
      <alignment horizontal="center" vertical="center"/>
    </xf>
    <xf numFmtId="0" fontId="5" fillId="0" borderId="115" xfId="0" applyFont="1" applyBorder="1" applyAlignment="1">
      <alignment horizontal="center" vertical="center"/>
    </xf>
    <xf numFmtId="43" fontId="1" fillId="0" borderId="39" xfId="2" applyFont="1" applyBorder="1" applyAlignment="1">
      <alignment horizontal="center" vertical="center"/>
    </xf>
    <xf numFmtId="43" fontId="5" fillId="0" borderId="244" xfId="2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5" fillId="0" borderId="171" xfId="0" applyFont="1" applyBorder="1" applyAlignment="1">
      <alignment horizontal="center" vertical="center"/>
    </xf>
    <xf numFmtId="43" fontId="5" fillId="0" borderId="35" xfId="0" applyNumberFormat="1" applyFont="1" applyBorder="1" applyAlignment="1">
      <alignment horizontal="center" vertical="center"/>
    </xf>
    <xf numFmtId="43" fontId="29" fillId="0" borderId="258" xfId="2" applyFont="1" applyBorder="1" applyAlignment="1"/>
    <xf numFmtId="0" fontId="1" fillId="0" borderId="40" xfId="0" applyFont="1" applyBorder="1"/>
    <xf numFmtId="0" fontId="2" fillId="0" borderId="175" xfId="0" applyFont="1" applyBorder="1" applyAlignment="1">
      <alignment horizontal="center" vertical="center"/>
    </xf>
    <xf numFmtId="0" fontId="5" fillId="0" borderId="201" xfId="0" applyFont="1" applyBorder="1" applyAlignment="1">
      <alignment horizontal="center" vertical="center"/>
    </xf>
    <xf numFmtId="0" fontId="5" fillId="0" borderId="243" xfId="0" applyFont="1" applyBorder="1" applyAlignment="1">
      <alignment horizontal="center" vertical="center"/>
    </xf>
    <xf numFmtId="0" fontId="5" fillId="0" borderId="138" xfId="0" applyFont="1" applyBorder="1" applyAlignment="1">
      <alignment horizontal="center" vertical="center"/>
    </xf>
    <xf numFmtId="0" fontId="5" fillId="0" borderId="24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43" fontId="14" fillId="0" borderId="294" xfId="2" applyFont="1" applyBorder="1" applyAlignment="1">
      <alignment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0" fontId="1" fillId="4" borderId="162" xfId="0" applyFont="1" applyFill="1" applyBorder="1" applyAlignment="1">
      <alignment horizontal="center" vertical="center"/>
    </xf>
    <xf numFmtId="0" fontId="1" fillId="4" borderId="270" xfId="0" applyFont="1" applyFill="1" applyBorder="1" applyAlignment="1">
      <alignment horizontal="center" vertical="center"/>
    </xf>
    <xf numFmtId="0" fontId="3" fillId="7" borderId="276" xfId="0" applyFont="1" applyFill="1" applyBorder="1" applyAlignment="1">
      <alignment horizontal="center" vertical="center"/>
    </xf>
    <xf numFmtId="0" fontId="3" fillId="7" borderId="276" xfId="0" applyFont="1" applyFill="1" applyBorder="1" applyAlignment="1">
      <alignment horizontal="center" vertical="center" wrapText="1"/>
    </xf>
    <xf numFmtId="0" fontId="1" fillId="4" borderId="278" xfId="0" applyFont="1" applyFill="1" applyBorder="1" applyAlignment="1">
      <alignment horizontal="center" vertical="center"/>
    </xf>
    <xf numFmtId="0" fontId="1" fillId="4" borderId="277" xfId="0" applyFont="1" applyFill="1" applyBorder="1" applyAlignment="1">
      <alignment horizontal="center" vertical="center"/>
    </xf>
    <xf numFmtId="0" fontId="1" fillId="4" borderId="270" xfId="0" quotePrefix="1" applyFont="1" applyFill="1" applyBorder="1" applyAlignment="1">
      <alignment horizontal="center" vertical="center"/>
    </xf>
    <xf numFmtId="0" fontId="31" fillId="11" borderId="7" xfId="0" applyFont="1" applyFill="1" applyBorder="1" applyAlignment="1">
      <alignment horizontal="center" vertical="center"/>
    </xf>
    <xf numFmtId="0" fontId="31" fillId="11" borderId="7" xfId="0" applyFont="1" applyFill="1" applyBorder="1" applyAlignment="1">
      <alignment horizontal="center"/>
    </xf>
    <xf numFmtId="164" fontId="31" fillId="11" borderId="7" xfId="0" applyNumberFormat="1" applyFont="1" applyFill="1" applyBorder="1" applyAlignment="1">
      <alignment horizontal="center" vertical="center"/>
    </xf>
    <xf numFmtId="0" fontId="31" fillId="11" borderId="0" xfId="0" applyFont="1" applyFill="1" applyAlignment="1">
      <alignment horizontal="center" vertical="center"/>
    </xf>
    <xf numFmtId="0" fontId="31" fillId="11" borderId="270" xfId="0" applyFont="1" applyFill="1" applyBorder="1" applyAlignment="1">
      <alignment horizontal="center" vertical="center"/>
    </xf>
    <xf numFmtId="0" fontId="31" fillId="11" borderId="277" xfId="0" applyFont="1" applyFill="1" applyBorder="1" applyAlignment="1">
      <alignment horizontal="center" vertical="center"/>
    </xf>
    <xf numFmtId="0" fontId="31" fillId="11" borderId="162" xfId="0" applyFont="1" applyFill="1" applyBorder="1" applyAlignment="1">
      <alignment horizontal="center" vertical="center"/>
    </xf>
    <xf numFmtId="0" fontId="31" fillId="11" borderId="278" xfId="0" applyFont="1" applyFill="1" applyBorder="1" applyAlignment="1">
      <alignment horizontal="center" vertical="center"/>
    </xf>
    <xf numFmtId="0" fontId="31" fillId="11" borderId="270" xfId="0" quotePrefix="1" applyFont="1" applyFill="1" applyBorder="1" applyAlignment="1">
      <alignment horizontal="center" vertical="center"/>
    </xf>
    <xf numFmtId="0" fontId="1" fillId="12" borderId="7" xfId="0" applyFont="1" applyFill="1" applyBorder="1" applyAlignment="1">
      <alignment horizontal="center" vertical="center"/>
    </xf>
    <xf numFmtId="0" fontId="1" fillId="12" borderId="7" xfId="0" applyFont="1" applyFill="1" applyBorder="1" applyAlignment="1">
      <alignment horizontal="center"/>
    </xf>
    <xf numFmtId="0" fontId="9" fillId="12" borderId="7" xfId="0" applyFont="1" applyFill="1" applyBorder="1" applyAlignment="1">
      <alignment horizontal="center" vertical="center"/>
    </xf>
    <xf numFmtId="164" fontId="9" fillId="12" borderId="7" xfId="0" applyNumberFormat="1" applyFont="1" applyFill="1" applyBorder="1" applyAlignment="1">
      <alignment horizontal="center" vertical="center"/>
    </xf>
    <xf numFmtId="0" fontId="1" fillId="12" borderId="162" xfId="0" applyFont="1" applyFill="1" applyBorder="1" applyAlignment="1">
      <alignment horizontal="center" vertical="center"/>
    </xf>
    <xf numFmtId="0" fontId="1" fillId="12" borderId="270" xfId="0" applyFont="1" applyFill="1" applyBorder="1" applyAlignment="1">
      <alignment horizontal="center" vertical="center"/>
    </xf>
    <xf numFmtId="0" fontId="9" fillId="12" borderId="224" xfId="0" applyFont="1" applyFill="1" applyBorder="1" applyAlignment="1">
      <alignment horizontal="center" vertical="center"/>
    </xf>
    <xf numFmtId="164" fontId="9" fillId="12" borderId="224" xfId="0" applyNumberFormat="1" applyFont="1" applyFill="1" applyBorder="1" applyAlignment="1">
      <alignment horizontal="center" vertical="center"/>
    </xf>
    <xf numFmtId="0" fontId="31" fillId="13" borderId="7" xfId="0" applyFont="1" applyFill="1" applyBorder="1" applyAlignment="1">
      <alignment horizontal="center" vertical="center"/>
    </xf>
    <xf numFmtId="0" fontId="31" fillId="13" borderId="7" xfId="0" applyFont="1" applyFill="1" applyBorder="1" applyAlignment="1">
      <alignment horizontal="center"/>
    </xf>
    <xf numFmtId="164" fontId="31" fillId="13" borderId="7" xfId="0" applyNumberFormat="1" applyFont="1" applyFill="1" applyBorder="1" applyAlignment="1">
      <alignment horizontal="center" vertical="center"/>
    </xf>
    <xf numFmtId="0" fontId="31" fillId="13" borderId="162" xfId="0" applyFont="1" applyFill="1" applyBorder="1" applyAlignment="1">
      <alignment horizontal="center" vertical="center"/>
    </xf>
    <xf numFmtId="0" fontId="31" fillId="13" borderId="270" xfId="0" applyFont="1" applyFill="1" applyBorder="1" applyAlignment="1">
      <alignment horizontal="center" vertical="center"/>
    </xf>
    <xf numFmtId="0" fontId="31" fillId="13" borderId="224" xfId="0" applyFont="1" applyFill="1" applyBorder="1" applyAlignment="1">
      <alignment horizontal="center" vertical="center"/>
    </xf>
    <xf numFmtId="164" fontId="31" fillId="13" borderId="224" xfId="0" applyNumberFormat="1" applyFont="1" applyFill="1" applyBorder="1" applyAlignment="1">
      <alignment horizontal="center" vertical="center"/>
    </xf>
    <xf numFmtId="0" fontId="1" fillId="14" borderId="7" xfId="0" applyFont="1" applyFill="1" applyBorder="1" applyAlignment="1">
      <alignment horizontal="center" vertical="center"/>
    </xf>
    <xf numFmtId="0" fontId="1" fillId="14" borderId="7" xfId="0" applyFont="1" applyFill="1" applyBorder="1" applyAlignment="1">
      <alignment horizontal="center"/>
    </xf>
    <xf numFmtId="0" fontId="9" fillId="14" borderId="7" xfId="0" applyFont="1" applyFill="1" applyBorder="1" applyAlignment="1">
      <alignment horizontal="center" vertical="center"/>
    </xf>
    <xf numFmtId="164" fontId="9" fillId="14" borderId="7" xfId="0" applyNumberFormat="1" applyFont="1" applyFill="1" applyBorder="1" applyAlignment="1">
      <alignment horizontal="center" vertical="center"/>
    </xf>
    <xf numFmtId="0" fontId="1" fillId="14" borderId="162" xfId="0" applyFont="1" applyFill="1" applyBorder="1" applyAlignment="1">
      <alignment horizontal="center" vertical="center"/>
    </xf>
    <xf numFmtId="0" fontId="1" fillId="14" borderId="270" xfId="0" applyFont="1" applyFill="1" applyBorder="1" applyAlignment="1">
      <alignment horizontal="center" vertical="center"/>
    </xf>
    <xf numFmtId="0" fontId="1" fillId="14" borderId="7" xfId="0" applyFont="1" applyFill="1" applyBorder="1" applyAlignment="1">
      <alignment horizontal="center" wrapText="1"/>
    </xf>
    <xf numFmtId="0" fontId="9" fillId="14" borderId="224" xfId="0" applyFont="1" applyFill="1" applyBorder="1" applyAlignment="1">
      <alignment horizontal="center" vertical="center"/>
    </xf>
    <xf numFmtId="164" fontId="9" fillId="14" borderId="224" xfId="0" applyNumberFormat="1" applyFont="1" applyFill="1" applyBorder="1" applyAlignment="1">
      <alignment horizontal="center" vertical="center"/>
    </xf>
    <xf numFmtId="0" fontId="1" fillId="15" borderId="7" xfId="0" applyFont="1" applyFill="1" applyBorder="1" applyAlignment="1">
      <alignment horizontal="center" vertical="center"/>
    </xf>
    <xf numFmtId="0" fontId="1" fillId="15" borderId="7" xfId="0" applyFont="1" applyFill="1" applyBorder="1" applyAlignment="1">
      <alignment horizontal="center"/>
    </xf>
    <xf numFmtId="0" fontId="9" fillId="15" borderId="224" xfId="0" applyFont="1" applyFill="1" applyBorder="1" applyAlignment="1">
      <alignment horizontal="center" vertical="center"/>
    </xf>
    <xf numFmtId="164" fontId="9" fillId="15" borderId="224" xfId="0" applyNumberFormat="1" applyFont="1" applyFill="1" applyBorder="1" applyAlignment="1">
      <alignment horizontal="center" vertical="center"/>
    </xf>
    <xf numFmtId="0" fontId="1" fillId="15" borderId="162" xfId="0" applyFont="1" applyFill="1" applyBorder="1" applyAlignment="1">
      <alignment horizontal="center" vertical="center"/>
    </xf>
    <xf numFmtId="0" fontId="1" fillId="15" borderId="270" xfId="0" applyFont="1" applyFill="1" applyBorder="1" applyAlignment="1">
      <alignment horizontal="center" vertical="center"/>
    </xf>
    <xf numFmtId="0" fontId="9" fillId="15" borderId="7" xfId="0" applyFont="1" applyFill="1" applyBorder="1" applyAlignment="1">
      <alignment horizontal="center" vertical="center"/>
    </xf>
    <xf numFmtId="164" fontId="9" fillId="15" borderId="7" xfId="0" applyNumberFormat="1" applyFont="1" applyFill="1" applyBorder="1" applyAlignment="1">
      <alignment horizontal="center" vertical="center"/>
    </xf>
    <xf numFmtId="0" fontId="1" fillId="15" borderId="7" xfId="0" applyFont="1" applyFill="1" applyBorder="1" applyAlignment="1">
      <alignment horizontal="center" wrapText="1"/>
    </xf>
    <xf numFmtId="0" fontId="9" fillId="15" borderId="7" xfId="0" applyFont="1" applyFill="1" applyBorder="1" applyAlignment="1">
      <alignment horizontal="center"/>
    </xf>
    <xf numFmtId="0" fontId="31" fillId="16" borderId="7" xfId="0" applyFont="1" applyFill="1" applyBorder="1" applyAlignment="1">
      <alignment horizontal="center" vertical="center"/>
    </xf>
    <xf numFmtId="0" fontId="31" fillId="16" borderId="7" xfId="0" applyFont="1" applyFill="1" applyBorder="1" applyAlignment="1">
      <alignment horizontal="center"/>
    </xf>
    <xf numFmtId="164" fontId="31" fillId="16" borderId="7" xfId="0" applyNumberFormat="1" applyFont="1" applyFill="1" applyBorder="1" applyAlignment="1">
      <alignment horizontal="center" vertical="center"/>
    </xf>
    <xf numFmtId="0" fontId="31" fillId="16" borderId="162" xfId="0" applyFont="1" applyFill="1" applyBorder="1" applyAlignment="1">
      <alignment horizontal="center" vertical="center"/>
    </xf>
    <xf numFmtId="0" fontId="31" fillId="16" borderId="270" xfId="0" applyFont="1" applyFill="1" applyBorder="1" applyAlignment="1">
      <alignment horizontal="center" vertical="center"/>
    </xf>
    <xf numFmtId="0" fontId="31" fillId="16" borderId="224" xfId="0" applyFont="1" applyFill="1" applyBorder="1" applyAlignment="1">
      <alignment horizontal="center" vertical="center"/>
    </xf>
    <xf numFmtId="164" fontId="31" fillId="16" borderId="224" xfId="0" applyNumberFormat="1" applyFont="1" applyFill="1" applyBorder="1" applyAlignment="1">
      <alignment horizontal="center" vertical="center"/>
    </xf>
    <xf numFmtId="0" fontId="31" fillId="16" borderId="7" xfId="0" applyFont="1" applyFill="1" applyBorder="1" applyAlignment="1">
      <alignment horizontal="center" wrapText="1"/>
    </xf>
    <xf numFmtId="0" fontId="1" fillId="17" borderId="7" xfId="0" applyFont="1" applyFill="1" applyBorder="1" applyAlignment="1">
      <alignment horizontal="center" vertical="center"/>
    </xf>
    <xf numFmtId="0" fontId="1" fillId="17" borderId="7" xfId="0" applyFont="1" applyFill="1" applyBorder="1" applyAlignment="1">
      <alignment horizontal="center"/>
    </xf>
    <xf numFmtId="0" fontId="9" fillId="17" borderId="46" xfId="0" applyFont="1" applyFill="1" applyBorder="1" applyAlignment="1">
      <alignment horizontal="center" vertical="center"/>
    </xf>
    <xf numFmtId="164" fontId="9" fillId="17" borderId="46" xfId="0" applyNumberFormat="1" applyFont="1" applyFill="1" applyBorder="1" applyAlignment="1">
      <alignment horizontal="center" vertical="center"/>
    </xf>
    <xf numFmtId="0" fontId="1" fillId="17" borderId="162" xfId="0" applyFont="1" applyFill="1" applyBorder="1" applyAlignment="1">
      <alignment horizontal="center" vertical="center"/>
    </xf>
    <xf numFmtId="0" fontId="1" fillId="17" borderId="270" xfId="0" applyFont="1" applyFill="1" applyBorder="1" applyAlignment="1">
      <alignment horizontal="center" vertical="center"/>
    </xf>
    <xf numFmtId="0" fontId="9" fillId="17" borderId="7" xfId="0" applyFont="1" applyFill="1" applyBorder="1" applyAlignment="1">
      <alignment horizontal="center" vertical="center"/>
    </xf>
    <xf numFmtId="164" fontId="9" fillId="17" borderId="7" xfId="0" applyNumberFormat="1" applyFont="1" applyFill="1" applyBorder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277" xfId="0" applyFont="1" applyFill="1" applyBorder="1" applyAlignment="1">
      <alignment horizontal="center" vertical="center"/>
    </xf>
    <xf numFmtId="0" fontId="1" fillId="18" borderId="46" xfId="0" applyFont="1" applyFill="1" applyBorder="1" applyAlignment="1">
      <alignment horizontal="center" vertical="center"/>
    </xf>
    <xf numFmtId="0" fontId="1" fillId="18" borderId="0" xfId="0" applyFont="1" applyFill="1" applyAlignment="1">
      <alignment horizontal="center" vertical="center" wrapText="1"/>
    </xf>
    <xf numFmtId="3" fontId="1" fillId="18" borderId="46" xfId="0" applyNumberFormat="1" applyFont="1" applyFill="1" applyBorder="1" applyAlignment="1">
      <alignment horizontal="center" vertical="center"/>
    </xf>
    <xf numFmtId="0" fontId="1" fillId="18" borderId="154" xfId="0" applyFont="1" applyFill="1" applyBorder="1" applyAlignment="1">
      <alignment horizontal="center" vertical="center"/>
    </xf>
    <xf numFmtId="0" fontId="1" fillId="18" borderId="279" xfId="0" applyFont="1" applyFill="1" applyBorder="1" applyAlignment="1">
      <alignment horizontal="center"/>
    </xf>
    <xf numFmtId="0" fontId="1" fillId="18" borderId="0" xfId="0" applyFont="1" applyFill="1" applyAlignment="1">
      <alignment horizontal="center" vertical="center"/>
    </xf>
    <xf numFmtId="0" fontId="1" fillId="18" borderId="145" xfId="0" applyFont="1" applyFill="1" applyBorder="1" applyAlignment="1">
      <alignment horizontal="center" vertical="center"/>
    </xf>
    <xf numFmtId="0" fontId="1" fillId="18" borderId="7" xfId="0" applyFont="1" applyFill="1" applyBorder="1" applyAlignment="1">
      <alignment horizontal="center" vertical="center"/>
    </xf>
    <xf numFmtId="0" fontId="1" fillId="18" borderId="7" xfId="0" applyFont="1" applyFill="1" applyBorder="1" applyAlignment="1">
      <alignment horizontal="center" vertical="center" wrapText="1"/>
    </xf>
    <xf numFmtId="3" fontId="1" fillId="18" borderId="7" xfId="0" applyNumberFormat="1" applyFont="1" applyFill="1" applyBorder="1" applyAlignment="1">
      <alignment horizontal="center" vertical="center"/>
    </xf>
    <xf numFmtId="0" fontId="1" fillId="18" borderId="162" xfId="0" applyFont="1" applyFill="1" applyBorder="1" applyAlignment="1">
      <alignment horizontal="center" vertical="center"/>
    </xf>
    <xf numFmtId="0" fontId="1" fillId="18" borderId="7" xfId="0" applyFont="1" applyFill="1" applyBorder="1" applyAlignment="1">
      <alignment horizontal="center"/>
    </xf>
    <xf numFmtId="0" fontId="1" fillId="18" borderId="269" xfId="0" applyFont="1" applyFill="1" applyBorder="1" applyAlignment="1">
      <alignment horizontal="center" vertical="center"/>
    </xf>
    <xf numFmtId="0" fontId="1" fillId="18" borderId="270" xfId="0" applyFont="1" applyFill="1" applyBorder="1" applyAlignment="1">
      <alignment horizontal="center" vertical="center"/>
    </xf>
    <xf numFmtId="0" fontId="1" fillId="18" borderId="7" xfId="0" applyFont="1" applyFill="1" applyBorder="1" applyAlignment="1">
      <alignment horizontal="center" wrapText="1"/>
    </xf>
    <xf numFmtId="0" fontId="9" fillId="18" borderId="7" xfId="0" applyFont="1" applyFill="1" applyBorder="1" applyAlignment="1">
      <alignment horizontal="center" vertical="center"/>
    </xf>
    <xf numFmtId="164" fontId="9" fillId="18" borderId="7" xfId="0" applyNumberFormat="1" applyFont="1" applyFill="1" applyBorder="1" applyAlignment="1">
      <alignment horizontal="center" vertical="center"/>
    </xf>
    <xf numFmtId="0" fontId="9" fillId="18" borderId="224" xfId="0" applyFont="1" applyFill="1" applyBorder="1" applyAlignment="1">
      <alignment horizontal="center" vertical="center"/>
    </xf>
    <xf numFmtId="164" fontId="9" fillId="18" borderId="224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43" fontId="29" fillId="0" borderId="0" xfId="2" applyFont="1" applyBorder="1" applyAlignment="1">
      <alignment vertical="center"/>
    </xf>
    <xf numFmtId="0" fontId="29" fillId="0" borderId="281" xfId="0" applyFont="1" applyBorder="1" applyAlignment="1">
      <alignment horizontal="center"/>
    </xf>
    <xf numFmtId="43" fontId="29" fillId="0" borderId="300" xfId="2" applyFont="1" applyBorder="1" applyAlignment="1"/>
    <xf numFmtId="43" fontId="32" fillId="0" borderId="11" xfId="2" applyFont="1" applyBorder="1" applyAlignment="1">
      <alignment vertical="center"/>
    </xf>
    <xf numFmtId="0" fontId="5" fillId="0" borderId="0" xfId="0" applyFont="1" applyAlignment="1">
      <alignment horizontal="center"/>
    </xf>
    <xf numFmtId="43" fontId="5" fillId="0" borderId="0" xfId="2" applyFont="1" applyBorder="1" applyAlignment="1">
      <alignment horizontal="center" vertical="center"/>
    </xf>
    <xf numFmtId="43" fontId="5" fillId="0" borderId="0" xfId="0" applyNumberFormat="1" applyFont="1" applyAlignment="1">
      <alignment horizontal="center" vertical="center"/>
    </xf>
    <xf numFmtId="43" fontId="26" fillId="0" borderId="145" xfId="2" applyFont="1" applyBorder="1" applyAlignment="1">
      <alignment horizontal="center" vertical="center"/>
    </xf>
    <xf numFmtId="0" fontId="29" fillId="0" borderId="293" xfId="0" applyFont="1" applyBorder="1" applyAlignment="1">
      <alignment horizontal="center"/>
    </xf>
    <xf numFmtId="43" fontId="29" fillId="0" borderId="294" xfId="2" applyFont="1" applyBorder="1" applyAlignment="1"/>
    <xf numFmtId="0" fontId="29" fillId="0" borderId="298" xfId="0" applyFont="1" applyBorder="1" applyAlignment="1">
      <alignment horizontal="center"/>
    </xf>
    <xf numFmtId="0" fontId="1" fillId="0" borderId="143" xfId="0" applyFont="1" applyBorder="1" applyAlignment="1">
      <alignment horizontal="center" vertical="center"/>
    </xf>
    <xf numFmtId="164" fontId="2" fillId="0" borderId="143" xfId="0" applyNumberFormat="1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164" fontId="2" fillId="0" borderId="145" xfId="0" applyNumberFormat="1" applyFont="1" applyBorder="1" applyAlignment="1">
      <alignment horizontal="center" vertical="center"/>
    </xf>
    <xf numFmtId="0" fontId="1" fillId="0" borderId="292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/>
    </xf>
    <xf numFmtId="43" fontId="5" fillId="0" borderId="50" xfId="2" applyFont="1" applyBorder="1"/>
    <xf numFmtId="43" fontId="5" fillId="0" borderId="144" xfId="2" applyFont="1" applyBorder="1"/>
    <xf numFmtId="43" fontId="29" fillId="0" borderId="11" xfId="0" applyNumberFormat="1" applyFont="1" applyBorder="1" applyAlignment="1">
      <alignment vertical="center" wrapText="1"/>
    </xf>
    <xf numFmtId="43" fontId="5" fillId="0" borderId="11" xfId="0" applyNumberFormat="1" applyFont="1" applyBorder="1"/>
    <xf numFmtId="43" fontId="1" fillId="0" borderId="250" xfId="2" applyFont="1" applyBorder="1" applyAlignment="1">
      <alignment horizontal="center" vertical="center"/>
    </xf>
    <xf numFmtId="43" fontId="1" fillId="0" borderId="275" xfId="0" applyNumberFormat="1" applyFont="1" applyBorder="1" applyAlignment="1">
      <alignment horizontal="center" vertical="center"/>
    </xf>
    <xf numFmtId="43" fontId="1" fillId="0" borderId="253" xfId="2" applyFont="1" applyBorder="1" applyAlignment="1">
      <alignment horizontal="center" vertical="center"/>
    </xf>
    <xf numFmtId="0" fontId="2" fillId="0" borderId="269" xfId="0" applyFont="1" applyBorder="1" applyAlignment="1">
      <alignment horizontal="center" vertical="center"/>
    </xf>
    <xf numFmtId="0" fontId="2" fillId="0" borderId="301" xfId="0" applyFont="1" applyBorder="1" applyAlignment="1">
      <alignment horizontal="center" vertical="center"/>
    </xf>
    <xf numFmtId="0" fontId="2" fillId="0" borderId="306" xfId="0" applyFont="1" applyBorder="1" applyAlignment="1">
      <alignment horizontal="center" vertical="center"/>
    </xf>
    <xf numFmtId="0" fontId="2" fillId="0" borderId="265" xfId="0" applyFont="1" applyBorder="1" applyAlignment="1">
      <alignment horizontal="center" vertical="center"/>
    </xf>
    <xf numFmtId="0" fontId="2" fillId="0" borderId="109" xfId="0" applyFont="1" applyBorder="1" applyAlignment="1">
      <alignment horizontal="center" vertical="center"/>
    </xf>
    <xf numFmtId="0" fontId="2" fillId="0" borderId="262" xfId="0" applyFont="1" applyBorder="1" applyAlignment="1">
      <alignment horizontal="center" vertical="center"/>
    </xf>
    <xf numFmtId="0" fontId="2" fillId="0" borderId="270" xfId="0" applyFont="1" applyBorder="1" applyAlignment="1">
      <alignment horizontal="center" vertical="center"/>
    </xf>
    <xf numFmtId="0" fontId="2" fillId="0" borderId="249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305" xfId="0" applyFont="1" applyBorder="1" applyAlignment="1">
      <alignment horizontal="center" vertical="center"/>
    </xf>
    <xf numFmtId="0" fontId="2" fillId="0" borderId="114" xfId="0" applyFont="1" applyBorder="1" applyAlignment="1">
      <alignment horizontal="center" vertical="center"/>
    </xf>
    <xf numFmtId="0" fontId="2" fillId="0" borderId="308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1" fillId="0" borderId="309" xfId="0" applyFont="1" applyBorder="1" applyAlignment="1">
      <alignment horizontal="center" vertical="center" wrapText="1"/>
    </xf>
    <xf numFmtId="0" fontId="1" fillId="0" borderId="247" xfId="0" applyFont="1" applyBorder="1" applyAlignment="1">
      <alignment horizontal="center" vertical="center"/>
    </xf>
    <xf numFmtId="0" fontId="1" fillId="0" borderId="105" xfId="0" applyFont="1" applyBorder="1" applyAlignment="1">
      <alignment horizontal="center" vertical="center"/>
    </xf>
    <xf numFmtId="0" fontId="1" fillId="0" borderId="109" xfId="0" applyFont="1" applyBorder="1" applyAlignment="1">
      <alignment horizontal="center" vertical="center"/>
    </xf>
    <xf numFmtId="0" fontId="5" fillId="0" borderId="310" xfId="0" applyFont="1" applyBorder="1" applyAlignment="1">
      <alignment horizontal="center" vertical="center"/>
    </xf>
    <xf numFmtId="0" fontId="1" fillId="0" borderId="114" xfId="0" applyFont="1" applyBorder="1" applyAlignment="1">
      <alignment horizontal="center" vertical="center"/>
    </xf>
    <xf numFmtId="0" fontId="1" fillId="0" borderId="102" xfId="0" applyFont="1" applyBorder="1" applyAlignment="1">
      <alignment horizontal="center" vertical="center"/>
    </xf>
    <xf numFmtId="0" fontId="1" fillId="0" borderId="311" xfId="0" applyFont="1" applyBorder="1" applyAlignment="1">
      <alignment horizontal="center" vertical="center"/>
    </xf>
    <xf numFmtId="0" fontId="1" fillId="0" borderId="265" xfId="0" applyFont="1" applyBorder="1" applyAlignment="1">
      <alignment horizontal="center" vertical="center"/>
    </xf>
    <xf numFmtId="0" fontId="1" fillId="0" borderId="282" xfId="0" applyFont="1" applyBorder="1" applyAlignment="1">
      <alignment horizontal="center" vertical="center"/>
    </xf>
    <xf numFmtId="0" fontId="1" fillId="0" borderId="305" xfId="0" applyFont="1" applyBorder="1" applyAlignment="1">
      <alignment horizontal="center" vertical="center"/>
    </xf>
    <xf numFmtId="0" fontId="5" fillId="0" borderId="202" xfId="0" applyFont="1" applyBorder="1" applyAlignment="1">
      <alignment horizontal="center" vertical="center"/>
    </xf>
    <xf numFmtId="0" fontId="1" fillId="0" borderId="262" xfId="0" applyFont="1" applyBorder="1" applyAlignment="1">
      <alignment horizontal="center" vertical="center"/>
    </xf>
    <xf numFmtId="0" fontId="5" fillId="8" borderId="48" xfId="0" applyFont="1" applyFill="1" applyBorder="1" applyAlignment="1">
      <alignment horizontal="center" vertical="center"/>
    </xf>
    <xf numFmtId="0" fontId="1" fillId="0" borderId="105" xfId="0" applyFont="1" applyBorder="1"/>
    <xf numFmtId="0" fontId="5" fillId="0" borderId="262" xfId="0" applyFont="1" applyBorder="1"/>
    <xf numFmtId="0" fontId="5" fillId="0" borderId="262" xfId="0" applyFont="1" applyBorder="1" applyAlignment="1">
      <alignment wrapText="1"/>
    </xf>
    <xf numFmtId="0" fontId="5" fillId="0" borderId="254" xfId="0" applyFont="1" applyBorder="1"/>
    <xf numFmtId="0" fontId="1" fillId="0" borderId="0" xfId="3"/>
    <xf numFmtId="0" fontId="3" fillId="0" borderId="0" xfId="3" applyFont="1"/>
    <xf numFmtId="0" fontId="3" fillId="19" borderId="276" xfId="3" applyFont="1" applyFill="1" applyBorder="1" applyAlignment="1">
      <alignment horizontal="center" vertical="center"/>
    </xf>
    <xf numFmtId="0" fontId="1" fillId="20" borderId="46" xfId="3" applyFill="1" applyBorder="1" applyAlignment="1">
      <alignment horizontal="center" vertical="center"/>
    </xf>
    <xf numFmtId="3" fontId="1" fillId="20" borderId="46" xfId="3" applyNumberFormat="1" applyFill="1" applyBorder="1" applyAlignment="1">
      <alignment horizontal="center" vertical="center"/>
    </xf>
    <xf numFmtId="0" fontId="1" fillId="20" borderId="7" xfId="3" applyFill="1" applyBorder="1" applyAlignment="1">
      <alignment horizontal="center" vertical="center"/>
    </xf>
    <xf numFmtId="3" fontId="1" fillId="20" borderId="7" xfId="3" applyNumberFormat="1" applyFill="1" applyBorder="1" applyAlignment="1">
      <alignment horizontal="center" vertical="center"/>
    </xf>
    <xf numFmtId="0" fontId="1" fillId="19" borderId="7" xfId="3" applyFill="1" applyBorder="1" applyAlignment="1">
      <alignment horizontal="center" vertical="center"/>
    </xf>
    <xf numFmtId="0" fontId="9" fillId="19" borderId="7" xfId="3" applyFont="1" applyFill="1" applyBorder="1" applyAlignment="1">
      <alignment horizontal="center" vertical="center"/>
    </xf>
    <xf numFmtId="164" fontId="9" fillId="19" borderId="7" xfId="3" applyNumberFormat="1" applyFont="1" applyFill="1" applyBorder="1" applyAlignment="1">
      <alignment horizontal="center" vertical="center"/>
    </xf>
    <xf numFmtId="0" fontId="9" fillId="19" borderId="224" xfId="3" applyFont="1" applyFill="1" applyBorder="1" applyAlignment="1">
      <alignment horizontal="center" vertical="center"/>
    </xf>
    <xf numFmtId="164" fontId="9" fillId="19" borderId="224" xfId="3" applyNumberFormat="1" applyFont="1" applyFill="1" applyBorder="1" applyAlignment="1">
      <alignment horizontal="center" vertical="center"/>
    </xf>
    <xf numFmtId="0" fontId="1" fillId="19" borderId="46" xfId="3" applyFill="1" applyBorder="1" applyAlignment="1">
      <alignment horizontal="center" vertical="center"/>
    </xf>
    <xf numFmtId="0" fontId="9" fillId="20" borderId="7" xfId="3" applyFont="1" applyFill="1" applyBorder="1" applyAlignment="1">
      <alignment horizontal="center" vertical="center"/>
    </xf>
    <xf numFmtId="164" fontId="9" fillId="20" borderId="7" xfId="3" applyNumberFormat="1" applyFont="1" applyFill="1" applyBorder="1" applyAlignment="1">
      <alignment horizontal="center" vertical="center"/>
    </xf>
    <xf numFmtId="0" fontId="1" fillId="19" borderId="7" xfId="3" applyFill="1" applyBorder="1" applyAlignment="1">
      <alignment horizontal="center" vertical="center" wrapText="1"/>
    </xf>
    <xf numFmtId="0" fontId="1" fillId="0" borderId="7" xfId="3" applyBorder="1" applyAlignment="1">
      <alignment horizontal="center" vertical="center"/>
    </xf>
    <xf numFmtId="0" fontId="9" fillId="0" borderId="7" xfId="3" applyFont="1" applyBorder="1" applyAlignment="1">
      <alignment horizontal="center" vertical="center"/>
    </xf>
    <xf numFmtId="164" fontId="9" fillId="0" borderId="7" xfId="3" applyNumberFormat="1" applyFont="1" applyBorder="1" applyAlignment="1">
      <alignment horizontal="center" vertical="center"/>
    </xf>
    <xf numFmtId="0" fontId="1" fillId="0" borderId="46" xfId="3" applyBorder="1" applyAlignment="1">
      <alignment horizontal="center" vertical="center"/>
    </xf>
    <xf numFmtId="0" fontId="1" fillId="0" borderId="7" xfId="3" applyBorder="1" applyAlignment="1">
      <alignment horizontal="center" vertical="center" wrapText="1"/>
    </xf>
    <xf numFmtId="0" fontId="9" fillId="0" borderId="224" xfId="3" applyFont="1" applyBorder="1" applyAlignment="1">
      <alignment horizontal="center" vertical="center"/>
    </xf>
    <xf numFmtId="164" fontId="9" fillId="0" borderId="224" xfId="3" applyNumberFormat="1" applyFont="1" applyBorder="1" applyAlignment="1">
      <alignment horizontal="center" vertical="center"/>
    </xf>
    <xf numFmtId="0" fontId="1" fillId="22" borderId="7" xfId="3" applyFill="1" applyBorder="1" applyAlignment="1">
      <alignment horizontal="center" vertical="center"/>
    </xf>
    <xf numFmtId="0" fontId="9" fillId="22" borderId="7" xfId="3" applyFont="1" applyFill="1" applyBorder="1" applyAlignment="1">
      <alignment horizontal="center" vertical="center"/>
    </xf>
    <xf numFmtId="164" fontId="9" fillId="22" borderId="7" xfId="3" applyNumberFormat="1" applyFont="1" applyFill="1" applyBorder="1" applyAlignment="1">
      <alignment horizontal="center" vertical="center"/>
    </xf>
    <xf numFmtId="0" fontId="1" fillId="22" borderId="46" xfId="3" applyFill="1" applyBorder="1" applyAlignment="1">
      <alignment horizontal="center" vertical="center"/>
    </xf>
    <xf numFmtId="0" fontId="1" fillId="22" borderId="7" xfId="3" applyFill="1" applyBorder="1" applyAlignment="1">
      <alignment horizontal="center" vertical="center" wrapText="1"/>
    </xf>
    <xf numFmtId="0" fontId="9" fillId="22" borderId="224" xfId="3" applyFont="1" applyFill="1" applyBorder="1" applyAlignment="1">
      <alignment horizontal="center" vertical="center"/>
    </xf>
    <xf numFmtId="164" fontId="9" fillId="22" borderId="224" xfId="3" applyNumberFormat="1" applyFont="1" applyFill="1" applyBorder="1" applyAlignment="1">
      <alignment horizontal="center" vertical="center"/>
    </xf>
    <xf numFmtId="0" fontId="1" fillId="23" borderId="7" xfId="3" applyFill="1" applyBorder="1" applyAlignment="1">
      <alignment horizontal="center" vertical="center"/>
    </xf>
    <xf numFmtId="0" fontId="9" fillId="23" borderId="224" xfId="3" applyFont="1" applyFill="1" applyBorder="1" applyAlignment="1">
      <alignment horizontal="center" vertical="center"/>
    </xf>
    <xf numFmtId="164" fontId="9" fillId="23" borderId="224" xfId="3" applyNumberFormat="1" applyFont="1" applyFill="1" applyBorder="1" applyAlignment="1">
      <alignment horizontal="center" vertical="center"/>
    </xf>
    <xf numFmtId="0" fontId="1" fillId="23" borderId="7" xfId="3" applyFill="1" applyBorder="1" applyAlignment="1">
      <alignment horizontal="center" vertical="center" wrapText="1"/>
    </xf>
    <xf numFmtId="0" fontId="9" fillId="23" borderId="7" xfId="3" applyFont="1" applyFill="1" applyBorder="1" applyAlignment="1">
      <alignment horizontal="center" vertical="center"/>
    </xf>
    <xf numFmtId="164" fontId="9" fillId="23" borderId="7" xfId="3" applyNumberFormat="1" applyFont="1" applyFill="1" applyBorder="1" applyAlignment="1">
      <alignment horizontal="center" vertical="center"/>
    </xf>
    <xf numFmtId="0" fontId="1" fillId="24" borderId="7" xfId="3" applyFill="1" applyBorder="1" applyAlignment="1">
      <alignment horizontal="center" vertical="center"/>
    </xf>
    <xf numFmtId="0" fontId="9" fillId="24" borderId="7" xfId="3" applyFont="1" applyFill="1" applyBorder="1" applyAlignment="1">
      <alignment horizontal="center" vertical="center"/>
    </xf>
    <xf numFmtId="164" fontId="9" fillId="24" borderId="7" xfId="3" applyNumberFormat="1" applyFont="1" applyFill="1" applyBorder="1" applyAlignment="1">
      <alignment horizontal="center" vertical="center"/>
    </xf>
    <xf numFmtId="0" fontId="9" fillId="24" borderId="224" xfId="3" applyFont="1" applyFill="1" applyBorder="1" applyAlignment="1">
      <alignment horizontal="center" vertical="center"/>
    </xf>
    <xf numFmtId="164" fontId="9" fillId="24" borderId="224" xfId="3" applyNumberFormat="1" applyFont="1" applyFill="1" applyBorder="1" applyAlignment="1">
      <alignment horizontal="center" vertical="center"/>
    </xf>
    <xf numFmtId="0" fontId="1" fillId="24" borderId="7" xfId="3" applyFill="1" applyBorder="1" applyAlignment="1">
      <alignment horizontal="center" vertical="center" wrapText="1"/>
    </xf>
    <xf numFmtId="0" fontId="1" fillId="25" borderId="7" xfId="3" applyFill="1" applyBorder="1" applyAlignment="1">
      <alignment horizontal="center" vertical="center"/>
    </xf>
    <xf numFmtId="0" fontId="9" fillId="25" borderId="46" xfId="3" applyFont="1" applyFill="1" applyBorder="1" applyAlignment="1">
      <alignment horizontal="center" vertical="center"/>
    </xf>
    <xf numFmtId="164" fontId="9" fillId="25" borderId="46" xfId="3" applyNumberFormat="1" applyFont="1" applyFill="1" applyBorder="1" applyAlignment="1">
      <alignment horizontal="center" vertical="center"/>
    </xf>
    <xf numFmtId="0" fontId="9" fillId="25" borderId="7" xfId="3" applyFont="1" applyFill="1" applyBorder="1" applyAlignment="1">
      <alignment horizontal="center" vertical="center"/>
    </xf>
    <xf numFmtId="164" fontId="9" fillId="25" borderId="7" xfId="3" applyNumberFormat="1" applyFont="1" applyFill="1" applyBorder="1" applyAlignment="1">
      <alignment horizontal="center" vertical="center"/>
    </xf>
    <xf numFmtId="0" fontId="1" fillId="25" borderId="0" xfId="3" applyFill="1" applyAlignment="1">
      <alignment horizontal="center" vertical="center"/>
    </xf>
    <xf numFmtId="0" fontId="1" fillId="25" borderId="224" xfId="3" applyFill="1" applyBorder="1" applyAlignment="1">
      <alignment horizontal="center" vertical="center"/>
    </xf>
    <xf numFmtId="0" fontId="1" fillId="25" borderId="7" xfId="3" applyFill="1" applyBorder="1" applyAlignment="1">
      <alignment horizontal="center" vertical="center" wrapText="1"/>
    </xf>
    <xf numFmtId="0" fontId="1" fillId="26" borderId="7" xfId="3" applyFill="1" applyBorder="1" applyAlignment="1">
      <alignment horizontal="center" vertical="center"/>
    </xf>
    <xf numFmtId="0" fontId="9" fillId="26" borderId="7" xfId="3" applyFont="1" applyFill="1" applyBorder="1" applyAlignment="1">
      <alignment horizontal="center" vertical="center"/>
    </xf>
    <xf numFmtId="164" fontId="9" fillId="26" borderId="7" xfId="3" applyNumberFormat="1" applyFont="1" applyFill="1" applyBorder="1" applyAlignment="1">
      <alignment horizontal="center" vertical="center"/>
    </xf>
    <xf numFmtId="0" fontId="1" fillId="26" borderId="7" xfId="3" applyFill="1" applyBorder="1" applyAlignment="1">
      <alignment horizontal="center" vertical="center" wrapText="1"/>
    </xf>
    <xf numFmtId="0" fontId="1" fillId="26" borderId="71" xfId="3" applyFill="1" applyBorder="1" applyAlignment="1">
      <alignment horizontal="center" vertical="center"/>
    </xf>
    <xf numFmtId="0" fontId="1" fillId="26" borderId="224" xfId="3" applyFill="1" applyBorder="1" applyAlignment="1">
      <alignment horizontal="center" vertical="center"/>
    </xf>
    <xf numFmtId="0" fontId="1" fillId="26" borderId="7" xfId="3" quotePrefix="1" applyFill="1" applyBorder="1" applyAlignment="1">
      <alignment horizontal="center" vertical="center"/>
    </xf>
    <xf numFmtId="0" fontId="1" fillId="27" borderId="7" xfId="3" applyFill="1" applyBorder="1" applyAlignment="1">
      <alignment horizontal="center" vertical="center"/>
    </xf>
    <xf numFmtId="0" fontId="9" fillId="27" borderId="7" xfId="3" applyFont="1" applyFill="1" applyBorder="1" applyAlignment="1">
      <alignment horizontal="center" vertical="center"/>
    </xf>
    <xf numFmtId="164" fontId="9" fillId="27" borderId="7" xfId="3" applyNumberFormat="1" applyFont="1" applyFill="1" applyBorder="1" applyAlignment="1">
      <alignment horizontal="center" vertical="center"/>
    </xf>
    <xf numFmtId="0" fontId="1" fillId="27" borderId="0" xfId="3" applyFill="1" applyAlignment="1">
      <alignment horizontal="center" vertical="center"/>
    </xf>
    <xf numFmtId="0" fontId="1" fillId="27" borderId="31" xfId="3" applyFill="1" applyBorder="1" applyAlignment="1">
      <alignment horizontal="center" vertical="center"/>
    </xf>
    <xf numFmtId="0" fontId="1" fillId="27" borderId="7" xfId="3" applyFill="1" applyBorder="1" applyAlignment="1">
      <alignment horizontal="center" vertical="center" wrapText="1"/>
    </xf>
    <xf numFmtId="0" fontId="1" fillId="27" borderId="224" xfId="3" applyFill="1" applyBorder="1" applyAlignment="1">
      <alignment horizontal="center" vertical="center"/>
    </xf>
    <xf numFmtId="0" fontId="1" fillId="27" borderId="71" xfId="3" applyFill="1" applyBorder="1" applyAlignment="1">
      <alignment horizontal="center" vertical="center"/>
    </xf>
    <xf numFmtId="0" fontId="1" fillId="27" borderId="31" xfId="3" quotePrefix="1" applyFill="1" applyBorder="1" applyAlignment="1">
      <alignment horizontal="center" vertical="center"/>
    </xf>
    <xf numFmtId="0" fontId="1" fillId="9" borderId="7" xfId="3" applyFill="1" applyBorder="1" applyAlignment="1">
      <alignment horizontal="center" vertical="center"/>
    </xf>
    <xf numFmtId="0" fontId="9" fillId="9" borderId="7" xfId="3" applyFont="1" applyFill="1" applyBorder="1" applyAlignment="1">
      <alignment horizontal="center" vertical="center"/>
    </xf>
    <xf numFmtId="164" fontId="9" fillId="9" borderId="7" xfId="3" applyNumberFormat="1" applyFont="1" applyFill="1" applyBorder="1" applyAlignment="1">
      <alignment horizontal="center" vertical="center"/>
    </xf>
    <xf numFmtId="0" fontId="1" fillId="9" borderId="31" xfId="3" applyFill="1" applyBorder="1" applyAlignment="1">
      <alignment horizontal="center" vertical="center"/>
    </xf>
    <xf numFmtId="0" fontId="9" fillId="9" borderId="224" xfId="3" applyFont="1" applyFill="1" applyBorder="1" applyAlignment="1">
      <alignment horizontal="center" vertical="center"/>
    </xf>
    <xf numFmtId="164" fontId="9" fillId="9" borderId="224" xfId="3" applyNumberFormat="1" applyFont="1" applyFill="1" applyBorder="1" applyAlignment="1">
      <alignment horizontal="center" vertical="center"/>
    </xf>
    <xf numFmtId="0" fontId="1" fillId="9" borderId="224" xfId="3" applyFill="1" applyBorder="1" applyAlignment="1">
      <alignment horizontal="center" vertical="center"/>
    </xf>
    <xf numFmtId="0" fontId="1" fillId="9" borderId="31" xfId="3" quotePrefix="1" applyFill="1" applyBorder="1" applyAlignment="1">
      <alignment horizontal="center" vertical="center"/>
    </xf>
    <xf numFmtId="0" fontId="1" fillId="9" borderId="7" xfId="3" applyFill="1" applyBorder="1" applyAlignment="1">
      <alignment horizontal="center" vertical="center" wrapText="1"/>
    </xf>
    <xf numFmtId="0" fontId="1" fillId="9" borderId="71" xfId="3" applyFill="1" applyBorder="1" applyAlignment="1">
      <alignment horizontal="center" vertical="center"/>
    </xf>
    <xf numFmtId="0" fontId="1" fillId="0" borderId="0" xfId="3" applyAlignment="1">
      <alignment horizontal="center" vertical="center"/>
    </xf>
    <xf numFmtId="0" fontId="1" fillId="0" borderId="14" xfId="0" applyFont="1" applyBorder="1"/>
    <xf numFmtId="43" fontId="26" fillId="0" borderId="37" xfId="0" applyNumberFormat="1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1" fillId="29" borderId="262" xfId="0" applyFont="1" applyFill="1" applyBorder="1" applyAlignment="1">
      <alignment horizontal="center" vertical="center" textRotation="90"/>
    </xf>
    <xf numFmtId="0" fontId="1" fillId="29" borderId="277" xfId="0" applyFont="1" applyFill="1" applyBorder="1" applyAlignment="1">
      <alignment horizontal="center" vertical="center" wrapText="1"/>
    </xf>
    <xf numFmtId="0" fontId="1" fillId="29" borderId="281" xfId="0" applyFont="1" applyFill="1" applyBorder="1" applyAlignment="1">
      <alignment horizontal="center" vertical="center" wrapText="1"/>
    </xf>
    <xf numFmtId="0" fontId="1" fillId="29" borderId="278" xfId="0" applyFont="1" applyFill="1" applyBorder="1" applyAlignment="1">
      <alignment horizontal="center" vertical="center" wrapText="1"/>
    </xf>
    <xf numFmtId="0" fontId="1" fillId="29" borderId="0" xfId="0" applyFont="1" applyFill="1" applyAlignment="1">
      <alignment horizontal="center" vertical="center" wrapText="1"/>
    </xf>
    <xf numFmtId="0" fontId="31" fillId="28" borderId="281" xfId="0" applyFont="1" applyFill="1" applyBorder="1" applyAlignment="1">
      <alignment horizontal="center" vertical="center" wrapText="1"/>
    </xf>
    <xf numFmtId="0" fontId="31" fillId="28" borderId="0" xfId="0" applyFont="1" applyFill="1" applyAlignment="1">
      <alignment horizontal="center" vertical="center" wrapText="1"/>
    </xf>
    <xf numFmtId="0" fontId="31" fillId="28" borderId="282" xfId="0" applyFont="1" applyFill="1" applyBorder="1" applyAlignment="1">
      <alignment horizontal="center" vertical="center" wrapText="1"/>
    </xf>
    <xf numFmtId="164" fontId="31" fillId="28" borderId="143" xfId="0" applyNumberFormat="1" applyFont="1" applyFill="1" applyBorder="1" applyAlignment="1">
      <alignment horizontal="center" vertical="center"/>
    </xf>
    <xf numFmtId="0" fontId="31" fillId="28" borderId="7" xfId="0" applyFont="1" applyFill="1" applyBorder="1" applyAlignment="1">
      <alignment horizontal="center" vertical="center"/>
    </xf>
    <xf numFmtId="0" fontId="31" fillId="28" borderId="300" xfId="0" applyFont="1" applyFill="1" applyBorder="1" applyAlignment="1">
      <alignment horizontal="center" vertical="center" wrapText="1"/>
    </xf>
    <xf numFmtId="0" fontId="31" fillId="28" borderId="43" xfId="0" applyFont="1" applyFill="1" applyBorder="1" applyAlignment="1">
      <alignment horizontal="center" vertical="center" wrapText="1"/>
    </xf>
    <xf numFmtId="0" fontId="31" fillId="28" borderId="269" xfId="0" applyFont="1" applyFill="1" applyBorder="1" applyAlignment="1">
      <alignment horizontal="center" vertical="center" wrapText="1"/>
    </xf>
    <xf numFmtId="0" fontId="1" fillId="32" borderId="0" xfId="0" applyFont="1" applyFill="1" applyAlignment="1">
      <alignment horizontal="center" vertical="center" wrapText="1"/>
    </xf>
    <xf numFmtId="0" fontId="1" fillId="32" borderId="43" xfId="0" applyFont="1" applyFill="1" applyBorder="1" applyAlignment="1">
      <alignment horizontal="center" vertical="center" wrapText="1"/>
    </xf>
    <xf numFmtId="0" fontId="1" fillId="15" borderId="0" xfId="0" applyFont="1" applyFill="1" applyAlignment="1">
      <alignment horizontal="center" vertical="center" wrapText="1"/>
    </xf>
    <xf numFmtId="0" fontId="1" fillId="15" borderId="43" xfId="0" applyFont="1" applyFill="1" applyBorder="1" applyAlignment="1">
      <alignment horizontal="center" vertical="center" wrapText="1"/>
    </xf>
    <xf numFmtId="0" fontId="1" fillId="29" borderId="43" xfId="0" applyFont="1" applyFill="1" applyBorder="1" applyAlignment="1">
      <alignment horizontal="center" vertical="center" wrapText="1"/>
    </xf>
    <xf numFmtId="0" fontId="1" fillId="29" borderId="300" xfId="0" applyFont="1" applyFill="1" applyBorder="1" applyAlignment="1">
      <alignment horizontal="center" vertical="center" wrapText="1"/>
    </xf>
    <xf numFmtId="0" fontId="1" fillId="31" borderId="0" xfId="0" applyFont="1" applyFill="1" applyAlignment="1">
      <alignment horizontal="center" vertical="center" wrapText="1"/>
    </xf>
    <xf numFmtId="0" fontId="1" fillId="30" borderId="0" xfId="0" applyFont="1" applyFill="1" applyAlignment="1">
      <alignment horizontal="center" vertical="center" wrapText="1"/>
    </xf>
    <xf numFmtId="0" fontId="1" fillId="30" borderId="43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43" xfId="0" applyFont="1" applyFill="1" applyBorder="1" applyAlignment="1">
      <alignment horizontal="center" vertical="center" wrapText="1"/>
    </xf>
    <xf numFmtId="0" fontId="1" fillId="9" borderId="108" xfId="0" applyFont="1" applyFill="1" applyBorder="1" applyAlignment="1">
      <alignment horizontal="center" vertical="center" wrapText="1"/>
    </xf>
    <xf numFmtId="0" fontId="1" fillId="9" borderId="120" xfId="0" applyFont="1" applyFill="1" applyBorder="1" applyAlignment="1">
      <alignment horizontal="center" vertical="center" wrapText="1"/>
    </xf>
    <xf numFmtId="0" fontId="1" fillId="31" borderId="318" xfId="0" applyFont="1" applyFill="1" applyBorder="1" applyAlignment="1">
      <alignment horizontal="center" vertical="center" wrapText="1"/>
    </xf>
    <xf numFmtId="0" fontId="1" fillId="31" borderId="319" xfId="0" applyFont="1" applyFill="1" applyBorder="1" applyAlignment="1">
      <alignment horizontal="center" vertical="center" wrapText="1"/>
    </xf>
    <xf numFmtId="0" fontId="1" fillId="31" borderId="320" xfId="0" applyFont="1" applyFill="1" applyBorder="1" applyAlignment="1">
      <alignment horizontal="center" vertical="center" wrapText="1"/>
    </xf>
    <xf numFmtId="0" fontId="1" fillId="31" borderId="321" xfId="0" applyFont="1" applyFill="1" applyBorder="1" applyAlignment="1">
      <alignment horizontal="center" vertical="center" wrapText="1"/>
    </xf>
    <xf numFmtId="0" fontId="1" fillId="31" borderId="322" xfId="0" applyFont="1" applyFill="1" applyBorder="1" applyAlignment="1">
      <alignment horizontal="center" vertical="center" wrapText="1"/>
    </xf>
    <xf numFmtId="0" fontId="1" fillId="30" borderId="328" xfId="0" applyFont="1" applyFill="1" applyBorder="1" applyAlignment="1">
      <alignment horizontal="center" vertical="center" wrapText="1"/>
    </xf>
    <xf numFmtId="0" fontId="1" fillId="30" borderId="318" xfId="0" applyFont="1" applyFill="1" applyBorder="1" applyAlignment="1">
      <alignment horizontal="center" vertical="center" wrapText="1"/>
    </xf>
    <xf numFmtId="0" fontId="1" fillId="30" borderId="319" xfId="0" applyFont="1" applyFill="1" applyBorder="1" applyAlignment="1">
      <alignment horizontal="center" vertical="center" wrapText="1"/>
    </xf>
    <xf numFmtId="0" fontId="1" fillId="30" borderId="332" xfId="0" applyFont="1" applyFill="1" applyBorder="1" applyAlignment="1">
      <alignment horizontal="center" vertical="center" wrapText="1"/>
    </xf>
    <xf numFmtId="0" fontId="1" fillId="30" borderId="320" xfId="0" applyFont="1" applyFill="1" applyBorder="1" applyAlignment="1">
      <alignment horizontal="center" vertical="center" wrapText="1"/>
    </xf>
    <xf numFmtId="0" fontId="1" fillId="30" borderId="334" xfId="0" applyFont="1" applyFill="1" applyBorder="1" applyAlignment="1">
      <alignment horizontal="center" vertical="center" wrapText="1"/>
    </xf>
    <xf numFmtId="0" fontId="1" fillId="30" borderId="321" xfId="0" applyFont="1" applyFill="1" applyBorder="1" applyAlignment="1">
      <alignment horizontal="center" vertical="center" wrapText="1"/>
    </xf>
    <xf numFmtId="0" fontId="1" fillId="30" borderId="322" xfId="0" applyFont="1" applyFill="1" applyBorder="1" applyAlignment="1">
      <alignment horizontal="center" vertical="center" wrapText="1"/>
    </xf>
    <xf numFmtId="0" fontId="1" fillId="29" borderId="328" xfId="0" applyFont="1" applyFill="1" applyBorder="1" applyAlignment="1">
      <alignment horizontal="center" vertical="center" wrapText="1"/>
    </xf>
    <xf numFmtId="0" fontId="1" fillId="29" borderId="318" xfId="0" applyFont="1" applyFill="1" applyBorder="1" applyAlignment="1">
      <alignment horizontal="center" vertical="center" wrapText="1"/>
    </xf>
    <xf numFmtId="0" fontId="1" fillId="29" borderId="319" xfId="0" applyFont="1" applyFill="1" applyBorder="1" applyAlignment="1">
      <alignment horizontal="center" vertical="center" wrapText="1"/>
    </xf>
    <xf numFmtId="0" fontId="1" fillId="29" borderId="332" xfId="0" applyFont="1" applyFill="1" applyBorder="1" applyAlignment="1">
      <alignment horizontal="center" vertical="center" wrapText="1"/>
    </xf>
    <xf numFmtId="0" fontId="1" fillId="29" borderId="320" xfId="0" applyFont="1" applyFill="1" applyBorder="1" applyAlignment="1">
      <alignment horizontal="center" vertical="center" wrapText="1"/>
    </xf>
    <xf numFmtId="0" fontId="1" fillId="29" borderId="334" xfId="0" applyFont="1" applyFill="1" applyBorder="1" applyAlignment="1">
      <alignment horizontal="center" vertical="center" wrapText="1"/>
    </xf>
    <xf numFmtId="0" fontId="1" fillId="29" borderId="321" xfId="0" applyFont="1" applyFill="1" applyBorder="1" applyAlignment="1">
      <alignment horizontal="center" vertical="center" wrapText="1"/>
    </xf>
    <xf numFmtId="0" fontId="1" fillId="29" borderId="322" xfId="0" applyFont="1" applyFill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/>
    </xf>
    <xf numFmtId="0" fontId="1" fillId="0" borderId="228" xfId="0" applyFont="1" applyBorder="1" applyAlignment="1">
      <alignment horizontal="center" vertical="center"/>
    </xf>
    <xf numFmtId="0" fontId="1" fillId="0" borderId="22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64" fontId="1" fillId="32" borderId="0" xfId="0" applyNumberFormat="1" applyFont="1" applyFill="1" applyAlignment="1">
      <alignment horizontal="center" vertical="center" wrapText="1"/>
    </xf>
    <xf numFmtId="164" fontId="1" fillId="15" borderId="0" xfId="0" applyNumberFormat="1" applyFont="1" applyFill="1" applyAlignment="1">
      <alignment horizontal="center" vertical="center" wrapText="1"/>
    </xf>
    <xf numFmtId="164" fontId="1" fillId="29" borderId="0" xfId="0" applyNumberFormat="1" applyFont="1" applyFill="1" applyAlignment="1">
      <alignment horizontal="center" vertical="center" wrapText="1"/>
    </xf>
    <xf numFmtId="164" fontId="1" fillId="29" borderId="281" xfId="0" applyNumberFormat="1" applyFont="1" applyFill="1" applyBorder="1" applyAlignment="1">
      <alignment horizontal="center" vertical="center" wrapText="1"/>
    </xf>
    <xf numFmtId="164" fontId="1" fillId="29" borderId="318" xfId="0" applyNumberFormat="1" applyFont="1" applyFill="1" applyBorder="1" applyAlignment="1">
      <alignment horizontal="center" vertical="center" wrapText="1"/>
    </xf>
    <xf numFmtId="164" fontId="1" fillId="29" borderId="321" xfId="0" applyNumberFormat="1" applyFont="1" applyFill="1" applyBorder="1" applyAlignment="1">
      <alignment horizontal="center" vertical="center" wrapText="1"/>
    </xf>
    <xf numFmtId="164" fontId="1" fillId="30" borderId="318" xfId="0" applyNumberFormat="1" applyFont="1" applyFill="1" applyBorder="1" applyAlignment="1">
      <alignment horizontal="center" vertical="center" wrapText="1"/>
    </xf>
    <xf numFmtId="164" fontId="1" fillId="30" borderId="0" xfId="0" applyNumberFormat="1" applyFont="1" applyFill="1" applyAlignment="1">
      <alignment horizontal="center" vertical="center" wrapText="1"/>
    </xf>
    <xf numFmtId="164" fontId="1" fillId="30" borderId="321" xfId="0" applyNumberFormat="1" applyFont="1" applyFill="1" applyBorder="1" applyAlignment="1">
      <alignment horizontal="center" vertical="center" wrapText="1"/>
    </xf>
    <xf numFmtId="164" fontId="1" fillId="31" borderId="318" xfId="0" applyNumberFormat="1" applyFont="1" applyFill="1" applyBorder="1" applyAlignment="1">
      <alignment horizontal="center" vertical="center" wrapText="1"/>
    </xf>
    <xf numFmtId="164" fontId="1" fillId="31" borderId="0" xfId="0" applyNumberFormat="1" applyFont="1" applyFill="1" applyAlignment="1">
      <alignment horizontal="center" vertical="center" wrapText="1"/>
    </xf>
    <xf numFmtId="164" fontId="1" fillId="31" borderId="321" xfId="0" applyNumberFormat="1" applyFont="1" applyFill="1" applyBorder="1" applyAlignment="1">
      <alignment horizontal="center" vertical="center" wrapText="1"/>
    </xf>
    <xf numFmtId="164" fontId="1" fillId="9" borderId="0" xfId="0" applyNumberFormat="1" applyFont="1" applyFill="1" applyAlignment="1">
      <alignment horizontal="center" vertical="center" wrapText="1"/>
    </xf>
    <xf numFmtId="164" fontId="1" fillId="9" borderId="108" xfId="0" applyNumberFormat="1" applyFont="1" applyFill="1" applyBorder="1" applyAlignment="1">
      <alignment horizontal="center" vertical="center" wrapText="1"/>
    </xf>
    <xf numFmtId="164" fontId="31" fillId="28" borderId="281" xfId="0" applyNumberFormat="1" applyFont="1" applyFill="1" applyBorder="1" applyAlignment="1">
      <alignment horizontal="center" vertical="center" wrapText="1"/>
    </xf>
    <xf numFmtId="164" fontId="31" fillId="28" borderId="0" xfId="0" applyNumberFormat="1" applyFont="1" applyFill="1" applyAlignment="1">
      <alignment horizontal="center" vertical="center" wrapText="1"/>
    </xf>
    <xf numFmtId="164" fontId="31" fillId="28" borderId="282" xfId="0" applyNumberFormat="1" applyFont="1" applyFill="1" applyBorder="1" applyAlignment="1">
      <alignment horizontal="center" vertical="center" wrapText="1"/>
    </xf>
    <xf numFmtId="0" fontId="5" fillId="21" borderId="246" xfId="0" applyFont="1" applyFill="1" applyBorder="1" applyAlignment="1">
      <alignment horizontal="center" vertical="center"/>
    </xf>
    <xf numFmtId="0" fontId="5" fillId="10" borderId="236" xfId="0" applyFont="1" applyFill="1" applyBorder="1" applyAlignment="1">
      <alignment horizontal="center" vertical="center" wrapText="1"/>
    </xf>
    <xf numFmtId="0" fontId="5" fillId="10" borderId="291" xfId="0" applyFont="1" applyFill="1" applyBorder="1" applyAlignment="1">
      <alignment horizontal="center" vertical="center" wrapText="1"/>
    </xf>
    <xf numFmtId="0" fontId="5" fillId="10" borderId="130" xfId="0" applyFont="1" applyFill="1" applyBorder="1" applyAlignment="1">
      <alignment horizontal="center" vertical="center"/>
    </xf>
    <xf numFmtId="0" fontId="5" fillId="10" borderId="291" xfId="0" applyFont="1" applyFill="1" applyBorder="1" applyAlignment="1">
      <alignment horizontal="center" vertical="center"/>
    </xf>
    <xf numFmtId="0" fontId="5" fillId="10" borderId="338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22" fillId="0" borderId="142" xfId="0" applyFont="1" applyBorder="1" applyAlignment="1">
      <alignment horizontal="center" vertical="center"/>
    </xf>
    <xf numFmtId="0" fontId="1" fillId="0" borderId="226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9" xfId="0" applyFont="1" applyBorder="1" applyAlignment="1">
      <alignment horizontal="center" vertical="center"/>
    </xf>
    <xf numFmtId="0" fontId="1" fillId="0" borderId="151" xfId="0" applyFont="1" applyBorder="1" applyAlignment="1">
      <alignment horizontal="center" vertical="center"/>
    </xf>
    <xf numFmtId="0" fontId="1" fillId="0" borderId="149" xfId="0" applyFont="1" applyBorder="1" applyAlignment="1">
      <alignment horizontal="center" vertical="center"/>
    </xf>
    <xf numFmtId="0" fontId="1" fillId="0" borderId="290" xfId="0" applyFont="1" applyBorder="1" applyAlignment="1">
      <alignment horizontal="center" vertical="center"/>
    </xf>
    <xf numFmtId="0" fontId="22" fillId="0" borderId="200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/>
    </xf>
    <xf numFmtId="0" fontId="38" fillId="0" borderId="14" xfId="0" applyFont="1" applyBorder="1" applyAlignment="1">
      <alignment horizontal="center" vertical="center"/>
    </xf>
    <xf numFmtId="0" fontId="38" fillId="0" borderId="274" xfId="0" applyFont="1" applyBorder="1" applyAlignment="1">
      <alignment horizontal="center" vertical="center"/>
    </xf>
    <xf numFmtId="0" fontId="38" fillId="0" borderId="72" xfId="0" applyFont="1" applyBorder="1" applyAlignment="1">
      <alignment horizontal="center" vertical="center"/>
    </xf>
    <xf numFmtId="0" fontId="1" fillId="0" borderId="165" xfId="0" applyFont="1" applyBorder="1" applyAlignment="1">
      <alignment horizontal="center" vertical="center"/>
    </xf>
    <xf numFmtId="0" fontId="5" fillId="21" borderId="35" xfId="0" applyFont="1" applyFill="1" applyBorder="1" applyAlignment="1">
      <alignment horizontal="center" vertical="center"/>
    </xf>
    <xf numFmtId="0" fontId="5" fillId="10" borderId="35" xfId="0" applyFont="1" applyFill="1" applyBorder="1" applyAlignment="1">
      <alignment horizontal="center" vertical="center"/>
    </xf>
    <xf numFmtId="0" fontId="1" fillId="0" borderId="148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0" fontId="38" fillId="0" borderId="69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223" xfId="0" applyFont="1" applyBorder="1" applyAlignment="1">
      <alignment horizontal="center" vertical="center"/>
    </xf>
    <xf numFmtId="0" fontId="22" fillId="0" borderId="256" xfId="0" applyFont="1" applyBorder="1" applyAlignment="1">
      <alignment horizontal="center" vertical="center"/>
    </xf>
    <xf numFmtId="0" fontId="0" fillId="23" borderId="241" xfId="0" applyFill="1" applyBorder="1" applyAlignment="1">
      <alignment horizontal="center" vertical="center"/>
    </xf>
    <xf numFmtId="0" fontId="0" fillId="0" borderId="31" xfId="0" applyBorder="1"/>
    <xf numFmtId="0" fontId="0" fillId="0" borderId="142" xfId="0" applyBorder="1"/>
    <xf numFmtId="0" fontId="22" fillId="0" borderId="228" xfId="0" applyFont="1" applyBorder="1" applyAlignment="1">
      <alignment horizontal="center" vertical="center"/>
    </xf>
    <xf numFmtId="0" fontId="0" fillId="0" borderId="147" xfId="0" applyBorder="1"/>
    <xf numFmtId="0" fontId="0" fillId="0" borderId="48" xfId="0" applyBorder="1" applyAlignment="1">
      <alignment horizontal="center"/>
    </xf>
    <xf numFmtId="0" fontId="0" fillId="0" borderId="48" xfId="0" applyBorder="1"/>
    <xf numFmtId="0" fontId="0" fillId="0" borderId="68" xfId="0" applyBorder="1"/>
    <xf numFmtId="0" fontId="0" fillId="0" borderId="95" xfId="0" applyBorder="1"/>
    <xf numFmtId="0" fontId="0" fillId="0" borderId="149" xfId="0" applyBorder="1"/>
    <xf numFmtId="0" fontId="0" fillId="0" borderId="151" xfId="0" applyBorder="1" applyAlignment="1">
      <alignment horizontal="center"/>
    </xf>
    <xf numFmtId="0" fontId="0" fillId="0" borderId="149" xfId="0" applyBorder="1" applyAlignment="1">
      <alignment horizontal="center"/>
    </xf>
    <xf numFmtId="0" fontId="0" fillId="0" borderId="290" xfId="0" applyBorder="1"/>
    <xf numFmtId="0" fontId="22" fillId="0" borderId="229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165" xfId="0" applyFont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1" fillId="0" borderId="224" xfId="0" applyFont="1" applyBorder="1" applyAlignment="1">
      <alignment horizontal="center" vertical="center"/>
    </xf>
    <xf numFmtId="0" fontId="1" fillId="0" borderId="231" xfId="0" applyFont="1" applyBorder="1" applyAlignment="1">
      <alignment horizontal="center" vertical="center"/>
    </xf>
    <xf numFmtId="0" fontId="1" fillId="23" borderId="149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2" fillId="0" borderId="129" xfId="0" applyFont="1" applyBorder="1"/>
    <xf numFmtId="0" fontId="0" fillId="0" borderId="52" xfId="0" applyBorder="1"/>
    <xf numFmtId="0" fontId="0" fillId="0" borderId="40" xfId="0" applyBorder="1"/>
    <xf numFmtId="0" fontId="0" fillId="23" borderId="35" xfId="0" applyFill="1" applyBorder="1"/>
    <xf numFmtId="0" fontId="0" fillId="0" borderId="35" xfId="0" applyBorder="1"/>
    <xf numFmtId="0" fontId="0" fillId="0" borderId="13" xfId="0" applyBorder="1"/>
    <xf numFmtId="0" fontId="0" fillId="0" borderId="15" xfId="0" applyBorder="1"/>
    <xf numFmtId="0" fontId="1" fillId="0" borderId="301" xfId="0" applyFont="1" applyBorder="1" applyAlignment="1">
      <alignment horizontal="center" vertical="center"/>
    </xf>
    <xf numFmtId="164" fontId="9" fillId="0" borderId="224" xfId="0" applyNumberFormat="1" applyFont="1" applyBorder="1" applyAlignment="1">
      <alignment horizontal="center" vertical="center"/>
    </xf>
    <xf numFmtId="164" fontId="9" fillId="0" borderId="46" xfId="0" applyNumberFormat="1" applyFont="1" applyBorder="1" applyAlignment="1">
      <alignment horizontal="center" vertical="center"/>
    </xf>
    <xf numFmtId="0" fontId="9" fillId="0" borderId="224" xfId="0" applyFont="1" applyBorder="1" applyAlignment="1">
      <alignment horizontal="center" vertical="center"/>
    </xf>
    <xf numFmtId="0" fontId="1" fillId="0" borderId="202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/>
    </xf>
    <xf numFmtId="0" fontId="3" fillId="34" borderId="2" xfId="4" applyFont="1" applyFill="1" applyBorder="1" applyAlignment="1">
      <alignment horizontal="center" vertical="center"/>
    </xf>
    <xf numFmtId="0" fontId="3" fillId="34" borderId="2" xfId="4" applyFont="1" applyFill="1" applyBorder="1" applyAlignment="1">
      <alignment vertical="center" wrapText="1"/>
    </xf>
    <xf numFmtId="0" fontId="3" fillId="34" borderId="6" xfId="4" applyFont="1" applyFill="1" applyBorder="1" applyAlignment="1">
      <alignment vertical="center" wrapText="1"/>
    </xf>
    <xf numFmtId="0" fontId="3" fillId="34" borderId="3" xfId="4" applyFont="1" applyFill="1" applyBorder="1" applyAlignment="1">
      <alignment vertical="center" wrapText="1"/>
    </xf>
    <xf numFmtId="0" fontId="3" fillId="34" borderId="20" xfId="4" applyFont="1" applyFill="1" applyBorder="1" applyAlignment="1">
      <alignment vertical="center" wrapText="1"/>
    </xf>
    <xf numFmtId="0" fontId="3" fillId="34" borderId="174" xfId="4" applyFont="1" applyFill="1" applyBorder="1" applyAlignment="1">
      <alignment horizontal="center" vertical="center"/>
    </xf>
    <xf numFmtId="0" fontId="3" fillId="34" borderId="112" xfId="4" applyFont="1" applyFill="1" applyBorder="1" applyAlignment="1">
      <alignment horizontal="center" vertical="center"/>
    </xf>
    <xf numFmtId="0" fontId="3" fillId="34" borderId="168" xfId="4" applyFont="1" applyFill="1" applyBorder="1" applyAlignment="1">
      <alignment horizontal="center" vertical="center"/>
    </xf>
    <xf numFmtId="0" fontId="35" fillId="34" borderId="168" xfId="4" applyFont="1" applyFill="1" applyBorder="1" applyAlignment="1">
      <alignment horizontal="center" vertical="center"/>
    </xf>
    <xf numFmtId="0" fontId="35" fillId="34" borderId="339" xfId="4" applyFont="1" applyFill="1" applyBorder="1" applyAlignment="1">
      <alignment horizontal="center" vertical="center"/>
    </xf>
    <xf numFmtId="0" fontId="35" fillId="34" borderId="115" xfId="4" applyFont="1" applyFill="1" applyBorder="1" applyAlignment="1">
      <alignment horizontal="center" vertical="center"/>
    </xf>
    <xf numFmtId="0" fontId="1" fillId="0" borderId="194" xfId="4" applyBorder="1" applyAlignment="1">
      <alignment horizontal="center" vertical="center"/>
    </xf>
    <xf numFmtId="0" fontId="1" fillId="0" borderId="147" xfId="4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140" xfId="0" applyFont="1" applyBorder="1" applyAlignment="1">
      <alignment horizontal="center" vertical="center"/>
    </xf>
    <xf numFmtId="0" fontId="1" fillId="0" borderId="241" xfId="4" applyBorder="1" applyAlignment="1">
      <alignment horizontal="center" vertical="center"/>
    </xf>
    <xf numFmtId="0" fontId="9" fillId="0" borderId="224" xfId="0" applyFont="1" applyBorder="1" applyAlignment="1">
      <alignment vertical="center"/>
    </xf>
    <xf numFmtId="0" fontId="9" fillId="0" borderId="256" xfId="0" applyFont="1" applyBorder="1" applyAlignment="1">
      <alignment horizontal="center" vertical="center"/>
    </xf>
    <xf numFmtId="0" fontId="9" fillId="0" borderId="142" xfId="0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9" fillId="0" borderId="147" xfId="4" applyFont="1" applyBorder="1" applyAlignment="1">
      <alignment horizontal="center" vertical="center"/>
    </xf>
    <xf numFmtId="0" fontId="9" fillId="0" borderId="241" xfId="4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9" fillId="0" borderId="140" xfId="0" applyNumberFormat="1" applyFont="1" applyBorder="1" applyAlignment="1">
      <alignment horizontal="center" vertical="center"/>
    </xf>
    <xf numFmtId="164" fontId="9" fillId="0" borderId="256" xfId="0" applyNumberFormat="1" applyFont="1" applyBorder="1" applyAlignment="1">
      <alignment horizontal="center" vertical="center"/>
    </xf>
    <xf numFmtId="0" fontId="1" fillId="0" borderId="71" xfId="0" applyFont="1" applyBorder="1" applyAlignment="1">
      <alignment horizontal="center"/>
    </xf>
    <xf numFmtId="0" fontId="1" fillId="0" borderId="195" xfId="4" applyBorder="1" applyAlignment="1">
      <alignment horizontal="center" vertical="center"/>
    </xf>
    <xf numFmtId="164" fontId="9" fillId="0" borderId="166" xfId="0" applyNumberFormat="1" applyFont="1" applyBorder="1" applyAlignment="1">
      <alignment horizontal="center" vertical="center"/>
    </xf>
    <xf numFmtId="0" fontId="9" fillId="0" borderId="166" xfId="0" applyFont="1" applyBorder="1" applyAlignment="1">
      <alignment horizontal="center" vertical="center"/>
    </xf>
    <xf numFmtId="0" fontId="9" fillId="0" borderId="167" xfId="0" applyFont="1" applyBorder="1" applyAlignment="1">
      <alignment horizontal="center" vertical="center"/>
    </xf>
    <xf numFmtId="0" fontId="9" fillId="0" borderId="150" xfId="4" applyFont="1" applyBorder="1" applyAlignment="1">
      <alignment horizontal="center" vertical="center"/>
    </xf>
    <xf numFmtId="0" fontId="10" fillId="0" borderId="147" xfId="4" applyFont="1" applyBorder="1" applyAlignment="1">
      <alignment horizontal="center" vertical="center"/>
    </xf>
    <xf numFmtId="164" fontId="9" fillId="0" borderId="7" xfId="0" applyNumberFormat="1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196" xfId="4" applyFont="1" applyBorder="1" applyAlignment="1">
      <alignment horizontal="center" vertical="center"/>
    </xf>
    <xf numFmtId="0" fontId="1" fillId="0" borderId="91" xfId="0" applyFont="1" applyBorder="1" applyAlignment="1">
      <alignment horizontal="center" vertical="center" wrapText="1"/>
    </xf>
    <xf numFmtId="0" fontId="6" fillId="0" borderId="249" xfId="0" applyFont="1" applyBorder="1" applyAlignment="1">
      <alignment horizontal="center" vertical="center"/>
    </xf>
    <xf numFmtId="0" fontId="6" fillId="0" borderId="305" xfId="0" applyFont="1" applyBorder="1" applyAlignment="1">
      <alignment horizontal="center" vertical="center"/>
    </xf>
    <xf numFmtId="0" fontId="6" fillId="0" borderId="235" xfId="0" applyFont="1" applyBorder="1" applyAlignment="1">
      <alignment horizontal="center" vertical="center"/>
    </xf>
    <xf numFmtId="0" fontId="1" fillId="0" borderId="241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/>
    </xf>
    <xf numFmtId="0" fontId="6" fillId="0" borderId="140" xfId="0" applyFont="1" applyBorder="1" applyAlignment="1">
      <alignment horizontal="center" vertical="center"/>
    </xf>
    <xf numFmtId="0" fontId="1" fillId="0" borderId="148" xfId="0" applyFont="1" applyBorder="1" applyAlignment="1">
      <alignment horizontal="center" vertical="center" wrapText="1"/>
    </xf>
    <xf numFmtId="0" fontId="6" fillId="0" borderId="96" xfId="0" applyFont="1" applyBorder="1" applyAlignment="1">
      <alignment horizontal="center" vertical="center"/>
    </xf>
    <xf numFmtId="0" fontId="1" fillId="0" borderId="340" xfId="0" applyFont="1" applyBorder="1" applyAlignment="1">
      <alignment horizontal="center" vertical="center"/>
    </xf>
    <xf numFmtId="0" fontId="15" fillId="0" borderId="301" xfId="0" applyFont="1" applyBorder="1" applyAlignment="1">
      <alignment horizontal="center" vertical="center"/>
    </xf>
    <xf numFmtId="0" fontId="1" fillId="0" borderId="250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/>
    </xf>
    <xf numFmtId="0" fontId="1" fillId="0" borderId="263" xfId="0" applyFont="1" applyBorder="1" applyAlignment="1">
      <alignment horizontal="center" vertical="center"/>
    </xf>
    <xf numFmtId="0" fontId="1" fillId="0" borderId="270" xfId="0" applyFont="1" applyBorder="1" applyAlignment="1">
      <alignment horizontal="center" vertical="center"/>
    </xf>
    <xf numFmtId="0" fontId="15" fillId="0" borderId="270" xfId="0" applyFont="1" applyBorder="1" applyAlignment="1">
      <alignment horizontal="center" vertical="center"/>
    </xf>
    <xf numFmtId="0" fontId="1" fillId="0" borderId="252" xfId="0" applyFont="1" applyBorder="1" applyAlignment="1">
      <alignment horizontal="center" vertical="center"/>
    </xf>
    <xf numFmtId="0" fontId="1" fillId="0" borderId="140" xfId="0" applyFont="1" applyBorder="1" applyAlignment="1">
      <alignment horizontal="center" vertical="center"/>
    </xf>
    <xf numFmtId="0" fontId="15" fillId="0" borderId="252" xfId="0" applyFont="1" applyBorder="1" applyAlignment="1">
      <alignment horizontal="center" vertical="center"/>
    </xf>
    <xf numFmtId="0" fontId="15" fillId="0" borderId="65" xfId="4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" fillId="0" borderId="138" xfId="0" applyFont="1" applyBorder="1" applyAlignment="1">
      <alignment horizontal="center" vertical="center"/>
    </xf>
    <xf numFmtId="164" fontId="9" fillId="33" borderId="7" xfId="0" applyNumberFormat="1" applyFont="1" applyFill="1" applyBorder="1" applyAlignment="1">
      <alignment horizontal="center" vertical="center"/>
    </xf>
    <xf numFmtId="164" fontId="9" fillId="32" borderId="224" xfId="0" applyNumberFormat="1" applyFont="1" applyFill="1" applyBorder="1" applyAlignment="1">
      <alignment horizontal="center" vertical="center"/>
    </xf>
    <xf numFmtId="164" fontId="9" fillId="32" borderId="7" xfId="0" applyNumberFormat="1" applyFont="1" applyFill="1" applyBorder="1" applyAlignment="1">
      <alignment horizontal="center" vertical="center"/>
    </xf>
    <xf numFmtId="0" fontId="9" fillId="33" borderId="7" xfId="0" applyFont="1" applyFill="1" applyBorder="1" applyAlignment="1">
      <alignment horizontal="center" vertical="center"/>
    </xf>
    <xf numFmtId="0" fontId="9" fillId="32" borderId="7" xfId="0" applyFont="1" applyFill="1" applyBorder="1" applyAlignment="1">
      <alignment horizontal="center" vertical="center"/>
    </xf>
    <xf numFmtId="164" fontId="9" fillId="30" borderId="166" xfId="0" applyNumberFormat="1" applyFont="1" applyFill="1" applyBorder="1" applyAlignment="1">
      <alignment horizontal="center" vertical="center"/>
    </xf>
    <xf numFmtId="164" fontId="9" fillId="30" borderId="7" xfId="0" applyNumberFormat="1" applyFont="1" applyFill="1" applyBorder="1" applyAlignment="1">
      <alignment horizontal="center" vertical="center"/>
    </xf>
    <xf numFmtId="164" fontId="9" fillId="28" borderId="7" xfId="0" applyNumberFormat="1" applyFont="1" applyFill="1" applyBorder="1" applyAlignment="1">
      <alignment horizontal="center" vertical="center"/>
    </xf>
    <xf numFmtId="164" fontId="9" fillId="33" borderId="224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164" fontId="9" fillId="35" borderId="7" xfId="0" applyNumberFormat="1" applyFont="1" applyFill="1" applyBorder="1" applyAlignment="1">
      <alignment horizontal="center" vertical="center"/>
    </xf>
    <xf numFmtId="0" fontId="9" fillId="35" borderId="7" xfId="0" applyFont="1" applyFill="1" applyBorder="1" applyAlignment="1">
      <alignment horizontal="center" vertical="center"/>
    </xf>
    <xf numFmtId="0" fontId="9" fillId="28" borderId="7" xfId="0" applyFont="1" applyFill="1" applyBorder="1" applyAlignment="1">
      <alignment horizontal="center" vertical="center"/>
    </xf>
    <xf numFmtId="164" fontId="9" fillId="36" borderId="7" xfId="0" applyNumberFormat="1" applyFont="1" applyFill="1" applyBorder="1" applyAlignment="1">
      <alignment horizontal="center" vertical="center"/>
    </xf>
    <xf numFmtId="0" fontId="13" fillId="0" borderId="0" xfId="0" applyFont="1"/>
    <xf numFmtId="0" fontId="6" fillId="28" borderId="0" xfId="0" applyFont="1" applyFill="1"/>
    <xf numFmtId="0" fontId="6" fillId="32" borderId="0" xfId="0" applyFont="1" applyFill="1"/>
    <xf numFmtId="0" fontId="6" fillId="4" borderId="0" xfId="0" applyFont="1" applyFill="1"/>
    <xf numFmtId="0" fontId="6" fillId="33" borderId="0" xfId="0" applyFont="1" applyFill="1"/>
    <xf numFmtId="0" fontId="6" fillId="31" borderId="0" xfId="0" applyFont="1" applyFill="1"/>
    <xf numFmtId="0" fontId="6" fillId="0" borderId="0" xfId="0" applyFont="1" applyAlignment="1">
      <alignment horizontal="left" vertical="center"/>
    </xf>
    <xf numFmtId="0" fontId="12" fillId="0" borderId="224" xfId="0" applyFont="1" applyBorder="1" applyAlignment="1">
      <alignment horizontal="center"/>
    </xf>
    <xf numFmtId="0" fontId="9" fillId="0" borderId="224" xfId="0" applyFont="1" applyBorder="1" applyAlignment="1">
      <alignment horizontal="center"/>
    </xf>
    <xf numFmtId="0" fontId="1" fillId="0" borderId="8" xfId="0" applyFont="1" applyBorder="1"/>
    <xf numFmtId="0" fontId="1" fillId="0" borderId="32" xfId="0" applyFont="1" applyBorder="1"/>
    <xf numFmtId="0" fontId="1" fillId="0" borderId="33" xfId="0" applyFont="1" applyBorder="1"/>
    <xf numFmtId="0" fontId="1" fillId="0" borderId="228" xfId="0" applyFont="1" applyBorder="1" applyAlignment="1">
      <alignment horizontal="center"/>
    </xf>
    <xf numFmtId="0" fontId="1" fillId="0" borderId="227" xfId="0" applyFont="1" applyBorder="1" applyAlignment="1">
      <alignment horizontal="center"/>
    </xf>
    <xf numFmtId="0" fontId="9" fillId="0" borderId="202" xfId="0" applyFont="1" applyBorder="1" applyAlignment="1">
      <alignment horizontal="center"/>
    </xf>
    <xf numFmtId="0" fontId="12" fillId="0" borderId="147" xfId="0" applyFont="1" applyBorder="1" applyAlignment="1">
      <alignment horizontal="center"/>
    </xf>
    <xf numFmtId="0" fontId="12" fillId="0" borderId="256" xfId="0" applyFont="1" applyBorder="1" applyAlignment="1">
      <alignment horizontal="center"/>
    </xf>
    <xf numFmtId="0" fontId="12" fillId="0" borderId="162" xfId="0" applyFont="1" applyBorder="1" applyAlignment="1">
      <alignment horizontal="center"/>
    </xf>
    <xf numFmtId="0" fontId="6" fillId="0" borderId="233" xfId="0" applyFont="1" applyBorder="1" applyAlignment="1">
      <alignment horizontal="center"/>
    </xf>
    <xf numFmtId="0" fontId="12" fillId="0" borderId="226" xfId="0" applyFont="1" applyBorder="1" applyAlignment="1">
      <alignment horizontal="center"/>
    </xf>
    <xf numFmtId="0" fontId="12" fillId="0" borderId="255" xfId="0" applyFont="1" applyBorder="1" applyAlignment="1">
      <alignment horizontal="center"/>
    </xf>
    <xf numFmtId="0" fontId="3" fillId="4" borderId="341" xfId="1" applyFont="1" applyFill="1" applyBorder="1" applyAlignment="1">
      <alignment horizontal="center" vertical="center"/>
    </xf>
    <xf numFmtId="0" fontId="6" fillId="2" borderId="79" xfId="0" applyFont="1" applyFill="1" applyBorder="1"/>
    <xf numFmtId="0" fontId="1" fillId="0" borderId="0" xfId="1" applyFont="1" applyAlignment="1">
      <alignment horizontal="center" vertical="center" wrapText="1"/>
    </xf>
    <xf numFmtId="0" fontId="1" fillId="0" borderId="16" xfId="1" applyFont="1" applyBorder="1" applyAlignment="1">
      <alignment horizontal="center" vertical="center" wrapText="1"/>
    </xf>
    <xf numFmtId="0" fontId="1" fillId="0" borderId="37" xfId="0" applyFont="1" applyBorder="1"/>
    <xf numFmtId="0" fontId="2" fillId="0" borderId="68" xfId="1" applyBorder="1" applyAlignment="1">
      <alignment horizontal="center" vertical="center"/>
    </xf>
    <xf numFmtId="0" fontId="9" fillId="0" borderId="147" xfId="1" applyFont="1" applyBorder="1" applyAlignment="1">
      <alignment horizontal="center" vertical="center"/>
    </xf>
    <xf numFmtId="164" fontId="9" fillId="0" borderId="224" xfId="0" applyNumberFormat="1" applyFont="1" applyBorder="1" applyAlignment="1">
      <alignment horizontal="center"/>
    </xf>
    <xf numFmtId="0" fontId="9" fillId="0" borderId="196" xfId="1" applyFont="1" applyBorder="1" applyAlignment="1">
      <alignment horizontal="center" vertical="center"/>
    </xf>
    <xf numFmtId="0" fontId="9" fillId="0" borderId="49" xfId="0" applyFont="1" applyBorder="1" applyAlignment="1">
      <alignment horizontal="center"/>
    </xf>
    <xf numFmtId="164" fontId="9" fillId="0" borderId="49" xfId="0" applyNumberFormat="1" applyFont="1" applyBorder="1" applyAlignment="1">
      <alignment horizontal="center"/>
    </xf>
    <xf numFmtId="0" fontId="0" fillId="0" borderId="201" xfId="0" applyBorder="1" applyAlignment="1">
      <alignment horizontal="center" vertical="center"/>
    </xf>
    <xf numFmtId="0" fontId="0" fillId="0" borderId="173" xfId="0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4" fontId="14" fillId="0" borderId="7" xfId="2" applyNumberFormat="1" applyFont="1" applyBorder="1" applyAlignment="1">
      <alignment horizontal="center" vertical="center"/>
    </xf>
    <xf numFmtId="165" fontId="14" fillId="0" borderId="162" xfId="2" applyNumberFormat="1" applyFont="1" applyBorder="1" applyAlignment="1">
      <alignment horizontal="center" vertical="center"/>
    </xf>
    <xf numFmtId="0" fontId="22" fillId="9" borderId="0" xfId="0" applyFont="1" applyFill="1" applyAlignment="1">
      <alignment horizontal="center" vertical="center" textRotation="255"/>
    </xf>
    <xf numFmtId="0" fontId="5" fillId="0" borderId="8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146" xfId="0" applyFont="1" applyBorder="1" applyAlignment="1">
      <alignment horizontal="center" vertical="center"/>
    </xf>
    <xf numFmtId="0" fontId="5" fillId="0" borderId="127" xfId="0" applyFont="1" applyBorder="1" applyAlignment="1">
      <alignment horizontal="center" vertical="center"/>
    </xf>
    <xf numFmtId="0" fontId="5" fillId="0" borderId="128" xfId="0" applyFont="1" applyBorder="1" applyAlignment="1">
      <alignment horizontal="center" vertical="center"/>
    </xf>
    <xf numFmtId="0" fontId="1" fillId="0" borderId="236" xfId="0" applyFont="1" applyBorder="1" applyAlignment="1">
      <alignment horizontal="center"/>
    </xf>
    <xf numFmtId="0" fontId="1" fillId="0" borderId="130" xfId="0" applyFont="1" applyBorder="1" applyAlignment="1">
      <alignment horizontal="center"/>
    </xf>
    <xf numFmtId="0" fontId="1" fillId="0" borderId="131" xfId="0" applyFont="1" applyBorder="1" applyAlignment="1">
      <alignment horizontal="center"/>
    </xf>
    <xf numFmtId="0" fontId="1" fillId="0" borderId="259" xfId="0" applyFont="1" applyBorder="1" applyAlignment="1">
      <alignment horizontal="center" vertical="center"/>
    </xf>
    <xf numFmtId="0" fontId="1" fillId="0" borderId="302" xfId="0" applyFont="1" applyBorder="1" applyAlignment="1">
      <alignment horizontal="center" vertical="center"/>
    </xf>
    <xf numFmtId="0" fontId="1" fillId="0" borderId="301" xfId="0" applyFont="1" applyBorder="1" applyAlignment="1">
      <alignment horizontal="center" vertical="center"/>
    </xf>
    <xf numFmtId="0" fontId="5" fillId="0" borderId="179" xfId="0" applyFont="1" applyBorder="1" applyAlignment="1">
      <alignment horizontal="center" vertical="center"/>
    </xf>
    <xf numFmtId="0" fontId="5" fillId="0" borderId="171" xfId="0" applyFont="1" applyBorder="1" applyAlignment="1">
      <alignment horizontal="center" vertical="center"/>
    </xf>
    <xf numFmtId="0" fontId="22" fillId="31" borderId="0" xfId="0" applyFont="1" applyFill="1" applyAlignment="1">
      <alignment horizontal="center" vertical="center" textRotation="255"/>
    </xf>
    <xf numFmtId="0" fontId="1" fillId="0" borderId="4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2" fillId="30" borderId="0" xfId="0" applyFont="1" applyFill="1" applyAlignment="1">
      <alignment horizontal="center" vertical="center" textRotation="255"/>
    </xf>
    <xf numFmtId="0" fontId="22" fillId="29" borderId="0" xfId="0" applyFont="1" applyFill="1" applyAlignment="1">
      <alignment horizontal="center" vertical="center" textRotation="255" wrapText="1"/>
    </xf>
    <xf numFmtId="0" fontId="30" fillId="7" borderId="0" xfId="0" applyFont="1" applyFill="1" applyAlignment="1">
      <alignment horizontal="center" vertical="center"/>
    </xf>
    <xf numFmtId="0" fontId="22" fillId="28" borderId="0" xfId="0" applyFont="1" applyFill="1" applyAlignment="1">
      <alignment horizontal="center" vertical="center" textRotation="255"/>
    </xf>
    <xf numFmtId="0" fontId="22" fillId="32" borderId="0" xfId="0" applyFont="1" applyFill="1" applyAlignment="1">
      <alignment horizontal="center" vertical="center" textRotation="255"/>
    </xf>
    <xf numFmtId="0" fontId="22" fillId="15" borderId="0" xfId="0" applyFont="1" applyFill="1" applyAlignment="1">
      <alignment horizontal="center" vertical="center" textRotation="255"/>
    </xf>
    <xf numFmtId="0" fontId="28" fillId="7" borderId="5" xfId="0" applyFont="1" applyFill="1" applyBorder="1" applyAlignment="1">
      <alignment horizontal="center" vertical="center"/>
    </xf>
    <xf numFmtId="0" fontId="28" fillId="7" borderId="16" xfId="0" applyFont="1" applyFill="1" applyBorder="1" applyAlignment="1">
      <alignment horizontal="center" vertical="center"/>
    </xf>
    <xf numFmtId="0" fontId="28" fillId="7" borderId="44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8" fillId="7" borderId="43" xfId="0" applyFont="1" applyFill="1" applyBorder="1" applyAlignment="1">
      <alignment horizontal="center" vertical="center"/>
    </xf>
    <xf numFmtId="0" fontId="22" fillId="31" borderId="312" xfId="0" applyFont="1" applyFill="1" applyBorder="1" applyAlignment="1">
      <alignment horizontal="center" vertical="center" textRotation="255" wrapText="1"/>
    </xf>
    <xf numFmtId="0" fontId="22" fillId="31" borderId="1" xfId="0" applyFont="1" applyFill="1" applyBorder="1" applyAlignment="1">
      <alignment horizontal="center" vertical="center" textRotation="255" wrapText="1"/>
    </xf>
    <xf numFmtId="0" fontId="22" fillId="31" borderId="304" xfId="0" applyFont="1" applyFill="1" applyBorder="1" applyAlignment="1">
      <alignment horizontal="center" vertical="center" textRotation="255" wrapText="1"/>
    </xf>
    <xf numFmtId="0" fontId="1" fillId="31" borderId="328" xfId="0" applyFont="1" applyFill="1" applyBorder="1" applyAlignment="1">
      <alignment horizontal="center" vertical="center"/>
    </xf>
    <xf numFmtId="0" fontId="1" fillId="31" borderId="329" xfId="0" applyFont="1" applyFill="1" applyBorder="1" applyAlignment="1">
      <alignment horizontal="center" vertical="center"/>
    </xf>
    <xf numFmtId="0" fontId="1" fillId="31" borderId="332" xfId="0" applyFont="1" applyFill="1" applyBorder="1" applyAlignment="1">
      <alignment horizontal="center" vertical="center"/>
    </xf>
    <xf numFmtId="0" fontId="1" fillId="31" borderId="95" xfId="0" applyFont="1" applyFill="1" applyBorder="1" applyAlignment="1">
      <alignment horizontal="center" vertical="center"/>
    </xf>
    <xf numFmtId="0" fontId="1" fillId="31" borderId="334" xfId="0" applyFont="1" applyFill="1" applyBorder="1" applyAlignment="1">
      <alignment horizontal="center" vertical="center"/>
    </xf>
    <xf numFmtId="0" fontId="1" fillId="31" borderId="335" xfId="0" applyFont="1" applyFill="1" applyBorder="1" applyAlignment="1">
      <alignment horizontal="center" vertical="center"/>
    </xf>
    <xf numFmtId="0" fontId="9" fillId="31" borderId="330" xfId="0" applyFont="1" applyFill="1" applyBorder="1" applyAlignment="1">
      <alignment horizontal="center" vertical="center"/>
    </xf>
    <xf numFmtId="0" fontId="9" fillId="31" borderId="71" xfId="0" applyFont="1" applyFill="1" applyBorder="1" applyAlignment="1">
      <alignment horizontal="center" vertical="center"/>
    </xf>
    <xf numFmtId="0" fontId="9" fillId="31" borderId="336" xfId="0" applyFont="1" applyFill="1" applyBorder="1" applyAlignment="1">
      <alignment horizontal="center" vertical="center"/>
    </xf>
    <xf numFmtId="43" fontId="26" fillId="31" borderId="331" xfId="2" applyFont="1" applyFill="1" applyBorder="1" applyAlignment="1">
      <alignment horizontal="center" vertical="center"/>
    </xf>
    <xf numFmtId="43" fontId="26" fillId="31" borderId="333" xfId="2" applyFont="1" applyFill="1" applyBorder="1" applyAlignment="1">
      <alignment horizontal="center" vertical="center"/>
    </xf>
    <xf numFmtId="43" fontId="26" fillId="31" borderId="337" xfId="2" applyFont="1" applyFill="1" applyBorder="1" applyAlignment="1">
      <alignment horizontal="center" vertical="center"/>
    </xf>
    <xf numFmtId="0" fontId="0" fillId="7" borderId="295" xfId="0" applyFill="1" applyBorder="1" applyAlignment="1">
      <alignment horizontal="center" vertical="center" wrapText="1"/>
    </xf>
    <xf numFmtId="0" fontId="0" fillId="7" borderId="265" xfId="0" applyFill="1" applyBorder="1" applyAlignment="1">
      <alignment horizontal="center" vertical="center" wrapText="1"/>
    </xf>
    <xf numFmtId="0" fontId="0" fillId="7" borderId="258" xfId="0" applyFill="1" applyBorder="1" applyAlignment="1">
      <alignment horizontal="center" vertical="center"/>
    </xf>
    <xf numFmtId="0" fontId="0" fillId="7" borderId="145" xfId="0" applyFill="1" applyBorder="1" applyAlignment="1">
      <alignment horizontal="center" vertical="center"/>
    </xf>
    <xf numFmtId="0" fontId="0" fillId="7" borderId="223" xfId="0" applyFill="1" applyBorder="1" applyAlignment="1">
      <alignment horizontal="center" vertical="center"/>
    </xf>
    <xf numFmtId="0" fontId="0" fillId="7" borderId="48" xfId="0" applyFill="1" applyBorder="1" applyAlignment="1">
      <alignment horizontal="center" vertical="center"/>
    </xf>
    <xf numFmtId="0" fontId="0" fillId="7" borderId="277" xfId="0" applyFill="1" applyBorder="1" applyAlignment="1">
      <alignment horizontal="center" vertical="center"/>
    </xf>
    <xf numFmtId="0" fontId="0" fillId="7" borderId="154" xfId="0" applyFill="1" applyBorder="1" applyAlignment="1">
      <alignment horizontal="center" vertical="center"/>
    </xf>
    <xf numFmtId="0" fontId="0" fillId="0" borderId="312" xfId="0" applyBorder="1" applyAlignment="1">
      <alignment horizontal="center"/>
    </xf>
    <xf numFmtId="0" fontId="0" fillId="0" borderId="281" xfId="0" applyBorder="1" applyAlignment="1">
      <alignment horizontal="center"/>
    </xf>
    <xf numFmtId="0" fontId="0" fillId="0" borderId="30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3" xfId="0" applyBorder="1" applyAlignment="1">
      <alignment horizontal="center"/>
    </xf>
    <xf numFmtId="0" fontId="0" fillId="0" borderId="304" xfId="0" applyBorder="1" applyAlignment="1">
      <alignment horizontal="center"/>
    </xf>
    <xf numFmtId="0" fontId="0" fillId="0" borderId="282" xfId="0" applyBorder="1" applyAlignment="1">
      <alignment horizontal="center"/>
    </xf>
    <xf numFmtId="0" fontId="0" fillId="0" borderId="269" xfId="0" applyBorder="1" applyAlignment="1">
      <alignment horizontal="center"/>
    </xf>
    <xf numFmtId="164" fontId="9" fillId="32" borderId="300" xfId="0" applyNumberFormat="1" applyFont="1" applyFill="1" applyBorder="1" applyAlignment="1">
      <alignment horizontal="center" vertical="center"/>
    </xf>
    <xf numFmtId="164" fontId="9" fillId="32" borderId="269" xfId="0" applyNumberFormat="1" applyFont="1" applyFill="1" applyBorder="1" applyAlignment="1">
      <alignment horizontal="center" vertical="center"/>
    </xf>
    <xf numFmtId="0" fontId="2" fillId="32" borderId="277" xfId="1" applyFill="1" applyBorder="1" applyAlignment="1">
      <alignment horizontal="center" vertical="center"/>
    </xf>
    <xf numFmtId="0" fontId="2" fillId="32" borderId="281" xfId="1" applyFill="1" applyBorder="1" applyAlignment="1">
      <alignment horizontal="center" vertical="center"/>
    </xf>
    <xf numFmtId="0" fontId="2" fillId="32" borderId="154" xfId="1" applyFill="1" applyBorder="1" applyAlignment="1">
      <alignment horizontal="center" vertical="center"/>
    </xf>
    <xf numFmtId="0" fontId="2" fillId="32" borderId="282" xfId="1" applyFill="1" applyBorder="1" applyAlignment="1">
      <alignment horizontal="center" vertical="center"/>
    </xf>
    <xf numFmtId="0" fontId="9" fillId="32" borderId="281" xfId="0" applyFont="1" applyFill="1" applyBorder="1" applyAlignment="1">
      <alignment horizontal="center" vertical="center"/>
    </xf>
    <xf numFmtId="0" fontId="9" fillId="32" borderId="282" xfId="0" applyFont="1" applyFill="1" applyBorder="1" applyAlignment="1">
      <alignment horizontal="center" vertical="center"/>
    </xf>
    <xf numFmtId="0" fontId="22" fillId="7" borderId="298" xfId="0" applyFont="1" applyFill="1" applyBorder="1" applyAlignment="1">
      <alignment horizontal="center" vertical="center"/>
    </xf>
    <xf numFmtId="0" fontId="22" fillId="7" borderId="280" xfId="0" applyFont="1" applyFill="1" applyBorder="1" applyAlignment="1">
      <alignment horizontal="center" vertical="center"/>
    </xf>
    <xf numFmtId="0" fontId="22" fillId="7" borderId="270" xfId="0" applyFont="1" applyFill="1" applyBorder="1" applyAlignment="1">
      <alignment horizontal="center" vertical="center"/>
    </xf>
    <xf numFmtId="0" fontId="22" fillId="32" borderId="295" xfId="0" applyFont="1" applyFill="1" applyBorder="1" applyAlignment="1">
      <alignment horizontal="center" vertical="center" textRotation="255" wrapText="1"/>
    </xf>
    <xf numFmtId="0" fontId="22" fillId="32" borderId="74" xfId="0" applyFont="1" applyFill="1" applyBorder="1" applyAlignment="1">
      <alignment horizontal="center" vertical="center" textRotation="255" wrapText="1"/>
    </xf>
    <xf numFmtId="0" fontId="22" fillId="32" borderId="265" xfId="0" applyFont="1" applyFill="1" applyBorder="1" applyAlignment="1">
      <alignment horizontal="center" vertical="center" textRotation="255" wrapText="1"/>
    </xf>
    <xf numFmtId="0" fontId="31" fillId="28" borderId="162" xfId="1" applyFont="1" applyFill="1" applyBorder="1" applyAlignment="1">
      <alignment horizontal="center" vertical="center"/>
    </xf>
    <xf numFmtId="0" fontId="31" fillId="28" borderId="31" xfId="1" applyFont="1" applyFill="1" applyBorder="1" applyAlignment="1">
      <alignment horizontal="center" vertical="center"/>
    </xf>
    <xf numFmtId="0" fontId="31" fillId="28" borderId="7" xfId="1" applyFont="1" applyFill="1" applyBorder="1" applyAlignment="1">
      <alignment horizontal="center" vertical="center"/>
    </xf>
    <xf numFmtId="0" fontId="39" fillId="28" borderId="295" xfId="0" applyFont="1" applyFill="1" applyBorder="1" applyAlignment="1">
      <alignment horizontal="center" vertical="center" textRotation="255" wrapText="1"/>
    </xf>
    <xf numFmtId="0" fontId="39" fillId="28" borderId="74" xfId="0" applyFont="1" applyFill="1" applyBorder="1" applyAlignment="1">
      <alignment horizontal="center" vertical="center" textRotation="255" wrapText="1"/>
    </xf>
    <xf numFmtId="0" fontId="39" fillId="28" borderId="265" xfId="0" applyFont="1" applyFill="1" applyBorder="1" applyAlignment="1">
      <alignment horizontal="center" vertical="center" textRotation="255" wrapText="1"/>
    </xf>
    <xf numFmtId="0" fontId="9" fillId="0" borderId="27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154" xfId="0" applyFont="1" applyBorder="1" applyAlignment="1">
      <alignment horizontal="center" vertical="center" wrapText="1"/>
    </xf>
    <xf numFmtId="0" fontId="9" fillId="0" borderId="282" xfId="0" applyFont="1" applyBorder="1" applyAlignment="1">
      <alignment horizontal="center" vertical="center" wrapText="1"/>
    </xf>
    <xf numFmtId="0" fontId="9" fillId="0" borderId="269" xfId="0" applyFont="1" applyBorder="1" applyAlignment="1">
      <alignment horizontal="center" vertical="center" wrapText="1"/>
    </xf>
    <xf numFmtId="0" fontId="22" fillId="0" borderId="317" xfId="0" applyFont="1" applyBorder="1" applyAlignment="1">
      <alignment horizontal="center" vertical="center" textRotation="45" wrapText="1"/>
    </xf>
    <xf numFmtId="0" fontId="22" fillId="0" borderId="39" xfId="0" applyFont="1" applyBorder="1" applyAlignment="1">
      <alignment horizontal="center" vertical="center" textRotation="45" wrapText="1"/>
    </xf>
    <xf numFmtId="0" fontId="1" fillId="0" borderId="122" xfId="0" applyFont="1" applyBorder="1" applyAlignment="1">
      <alignment horizontal="center" vertical="center" wrapText="1"/>
    </xf>
    <xf numFmtId="0" fontId="1" fillId="0" borderId="74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137" xfId="0" applyFont="1" applyBorder="1" applyAlignment="1">
      <alignment horizontal="center" vertical="center" wrapText="1"/>
    </xf>
    <xf numFmtId="0" fontId="1" fillId="0" borderId="278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20" fillId="9" borderId="39" xfId="0" applyFont="1" applyFill="1" applyBorder="1" applyAlignment="1">
      <alignment horizontal="center" vertical="center" textRotation="255"/>
    </xf>
    <xf numFmtId="0" fontId="20" fillId="9" borderId="168" xfId="0" applyFont="1" applyFill="1" applyBorder="1" applyAlignment="1">
      <alignment horizontal="center" vertical="center" textRotation="255"/>
    </xf>
    <xf numFmtId="0" fontId="41" fillId="7" borderId="39" xfId="0" applyFont="1" applyFill="1" applyBorder="1" applyAlignment="1">
      <alignment horizontal="center" vertical="center" wrapText="1"/>
    </xf>
    <xf numFmtId="0" fontId="41" fillId="7" borderId="38" xfId="0" applyFont="1" applyFill="1" applyBorder="1" applyAlignment="1">
      <alignment horizontal="center" vertical="center" wrapText="1"/>
    </xf>
    <xf numFmtId="0" fontId="1" fillId="32" borderId="295" xfId="0" applyFont="1" applyFill="1" applyBorder="1" applyAlignment="1">
      <alignment horizontal="center" vertical="center" textRotation="90" wrapText="1"/>
    </xf>
    <xf numFmtId="0" fontId="1" fillId="32" borderId="74" xfId="0" applyFont="1" applyFill="1" applyBorder="1" applyAlignment="1">
      <alignment horizontal="center" vertical="center" textRotation="90" wrapText="1"/>
    </xf>
    <xf numFmtId="0" fontId="1" fillId="32" borderId="265" xfId="0" applyFont="1" applyFill="1" applyBorder="1" applyAlignment="1">
      <alignment horizontal="center" vertical="center" textRotation="90" wrapText="1"/>
    </xf>
    <xf numFmtId="0" fontId="32" fillId="0" borderId="39" xfId="0" applyFont="1" applyBorder="1" applyAlignment="1">
      <alignment horizontal="center" vertical="center" textRotation="45" wrapText="1"/>
    </xf>
    <xf numFmtId="0" fontId="9" fillId="0" borderId="74" xfId="0" applyFont="1" applyBorder="1" applyAlignment="1">
      <alignment horizontal="center" vertical="center" textRotation="90" wrapText="1"/>
    </xf>
    <xf numFmtId="0" fontId="9" fillId="0" borderId="265" xfId="0" applyFont="1" applyBorder="1" applyAlignment="1">
      <alignment horizontal="center" vertical="center" textRotation="90" wrapText="1"/>
    </xf>
    <xf numFmtId="0" fontId="1" fillId="31" borderId="326" xfId="0" applyFont="1" applyFill="1" applyBorder="1" applyAlignment="1">
      <alignment horizontal="center" vertical="center" textRotation="90" wrapText="1"/>
    </xf>
    <xf numFmtId="0" fontId="1" fillId="31" borderId="324" xfId="0" applyFont="1" applyFill="1" applyBorder="1" applyAlignment="1">
      <alignment horizontal="center" vertical="center" textRotation="90" wrapText="1"/>
    </xf>
    <xf numFmtId="0" fontId="1" fillId="31" borderId="327" xfId="0" applyFont="1" applyFill="1" applyBorder="1" applyAlignment="1">
      <alignment horizontal="center" vertical="center" textRotation="90" wrapText="1"/>
    </xf>
    <xf numFmtId="0" fontId="31" fillId="28" borderId="295" xfId="0" applyFont="1" applyFill="1" applyBorder="1" applyAlignment="1">
      <alignment horizontal="center" vertical="center" textRotation="90" wrapText="1"/>
    </xf>
    <xf numFmtId="0" fontId="31" fillId="28" borderId="74" xfId="0" applyFont="1" applyFill="1" applyBorder="1" applyAlignment="1">
      <alignment horizontal="center" vertical="center" textRotation="90" wrapText="1"/>
    </xf>
    <xf numFmtId="0" fontId="31" fillId="28" borderId="265" xfId="0" applyFont="1" applyFill="1" applyBorder="1" applyAlignment="1">
      <alignment horizontal="center" vertical="center" textRotation="90" wrapText="1"/>
    </xf>
    <xf numFmtId="0" fontId="1" fillId="29" borderId="74" xfId="0" applyFont="1" applyFill="1" applyBorder="1" applyAlignment="1">
      <alignment horizontal="center" vertical="center" textRotation="90"/>
    </xf>
    <xf numFmtId="0" fontId="1" fillId="29" borderId="1" xfId="0" applyFont="1" applyFill="1" applyBorder="1" applyAlignment="1">
      <alignment horizontal="center" vertical="center" textRotation="90"/>
    </xf>
    <xf numFmtId="0" fontId="1" fillId="30" borderId="312" xfId="0" applyFont="1" applyFill="1" applyBorder="1" applyAlignment="1">
      <alignment horizontal="center" vertical="center" textRotation="90"/>
    </xf>
    <xf numFmtId="0" fontId="1" fillId="30" borderId="74" xfId="0" applyFont="1" applyFill="1" applyBorder="1" applyAlignment="1">
      <alignment horizontal="center" vertical="center" textRotation="90"/>
    </xf>
    <xf numFmtId="0" fontId="20" fillId="29" borderId="39" xfId="0" applyFont="1" applyFill="1" applyBorder="1" applyAlignment="1">
      <alignment horizontal="center" vertical="center" textRotation="255" wrapText="1"/>
    </xf>
    <xf numFmtId="0" fontId="31" fillId="28" borderId="295" xfId="0" applyFont="1" applyFill="1" applyBorder="1" applyAlignment="1">
      <alignment horizontal="center" vertical="center" textRotation="90"/>
    </xf>
    <xf numFmtId="0" fontId="31" fillId="28" borderId="74" xfId="0" applyFont="1" applyFill="1" applyBorder="1" applyAlignment="1">
      <alignment horizontal="center" vertical="center" textRotation="90"/>
    </xf>
    <xf numFmtId="0" fontId="31" fillId="28" borderId="265" xfId="0" applyFont="1" applyFill="1" applyBorder="1" applyAlignment="1">
      <alignment horizontal="center" vertical="center" textRotation="90"/>
    </xf>
    <xf numFmtId="0" fontId="3" fillId="7" borderId="46" xfId="0" applyFont="1" applyFill="1" applyBorder="1" applyAlignment="1">
      <alignment horizontal="center" vertical="center" wrapText="1"/>
    </xf>
    <xf numFmtId="0" fontId="3" fillId="7" borderId="276" xfId="0" applyFont="1" applyFill="1" applyBorder="1" applyAlignment="1">
      <alignment horizontal="center" vertical="center" wrapText="1"/>
    </xf>
    <xf numFmtId="0" fontId="3" fillId="7" borderId="145" xfId="0" applyFont="1" applyFill="1" applyBorder="1" applyAlignment="1">
      <alignment horizontal="center" vertical="center" wrapText="1"/>
    </xf>
    <xf numFmtId="0" fontId="3" fillId="7" borderId="297" xfId="0" applyFont="1" applyFill="1" applyBorder="1" applyAlignment="1">
      <alignment horizontal="center" vertical="center" wrapText="1"/>
    </xf>
    <xf numFmtId="0" fontId="0" fillId="0" borderId="111" xfId="0" applyBorder="1" applyAlignment="1">
      <alignment horizontal="center"/>
    </xf>
    <xf numFmtId="0" fontId="0" fillId="0" borderId="108" xfId="0" applyBorder="1" applyAlignment="1">
      <alignment horizontal="center"/>
    </xf>
    <xf numFmtId="0" fontId="0" fillId="0" borderId="120" xfId="0" applyBorder="1" applyAlignment="1">
      <alignment horizontal="center"/>
    </xf>
    <xf numFmtId="0" fontId="0" fillId="7" borderId="169" xfId="0" applyFill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1" fillId="9" borderId="74" xfId="0" applyFont="1" applyFill="1" applyBorder="1" applyAlignment="1">
      <alignment horizontal="center" vertical="center" textRotation="90"/>
    </xf>
    <xf numFmtId="0" fontId="1" fillId="9" borderId="109" xfId="0" applyFont="1" applyFill="1" applyBorder="1" applyAlignment="1">
      <alignment horizontal="center" vertical="center" textRotation="90"/>
    </xf>
    <xf numFmtId="0" fontId="1" fillId="30" borderId="1" xfId="0" applyFont="1" applyFill="1" applyBorder="1" applyAlignment="1">
      <alignment horizontal="center" vertical="center" textRotation="90" wrapText="1"/>
    </xf>
    <xf numFmtId="0" fontId="1" fillId="30" borderId="304" xfId="0" applyFont="1" applyFill="1" applyBorder="1" applyAlignment="1">
      <alignment horizontal="center" vertical="center" textRotation="90" wrapText="1"/>
    </xf>
    <xf numFmtId="0" fontId="40" fillId="28" borderId="315" xfId="0" applyFont="1" applyFill="1" applyBorder="1" applyAlignment="1">
      <alignment horizontal="center" vertical="center" textRotation="255"/>
    </xf>
    <xf numFmtId="0" fontId="40" fillId="28" borderId="39" xfId="0" applyFont="1" applyFill="1" applyBorder="1" applyAlignment="1">
      <alignment horizontal="center" vertical="center" textRotation="255"/>
    </xf>
    <xf numFmtId="0" fontId="40" fillId="28" borderId="251" xfId="0" applyFont="1" applyFill="1" applyBorder="1" applyAlignment="1">
      <alignment horizontal="center" vertical="center" textRotation="255"/>
    </xf>
    <xf numFmtId="0" fontId="20" fillId="32" borderId="39" xfId="0" applyFont="1" applyFill="1" applyBorder="1" applyAlignment="1">
      <alignment horizontal="center" vertical="center" textRotation="255"/>
    </xf>
    <xf numFmtId="0" fontId="20" fillId="15" borderId="39" xfId="0" applyFont="1" applyFill="1" applyBorder="1" applyAlignment="1">
      <alignment horizontal="center" vertical="center" textRotation="255"/>
    </xf>
    <xf numFmtId="0" fontId="20" fillId="29" borderId="39" xfId="0" applyFont="1" applyFill="1" applyBorder="1" applyAlignment="1">
      <alignment horizontal="center" vertical="center" textRotation="255"/>
    </xf>
    <xf numFmtId="0" fontId="20" fillId="30" borderId="39" xfId="0" applyFont="1" applyFill="1" applyBorder="1" applyAlignment="1">
      <alignment horizontal="center" vertical="center" textRotation="255"/>
    </xf>
    <xf numFmtId="0" fontId="20" fillId="31" borderId="1" xfId="0" applyFont="1" applyFill="1" applyBorder="1" applyAlignment="1">
      <alignment horizontal="center" vertical="center" textRotation="255"/>
    </xf>
    <xf numFmtId="0" fontId="9" fillId="32" borderId="295" xfId="0" applyFont="1" applyFill="1" applyBorder="1" applyAlignment="1">
      <alignment horizontal="center" vertical="center" textRotation="90"/>
    </xf>
    <xf numFmtId="0" fontId="9" fillId="32" borderId="74" xfId="0" applyFont="1" applyFill="1" applyBorder="1" applyAlignment="1">
      <alignment horizontal="center" vertical="center" textRotation="90"/>
    </xf>
    <xf numFmtId="0" fontId="9" fillId="32" borderId="265" xfId="0" applyFont="1" applyFill="1" applyBorder="1" applyAlignment="1">
      <alignment horizontal="center" vertical="center" textRotation="90"/>
    </xf>
    <xf numFmtId="0" fontId="1" fillId="29" borderId="295" xfId="0" applyFont="1" applyFill="1" applyBorder="1" applyAlignment="1">
      <alignment horizontal="center" vertical="center" textRotation="90"/>
    </xf>
    <xf numFmtId="0" fontId="1" fillId="29" borderId="265" xfId="0" applyFont="1" applyFill="1" applyBorder="1" applyAlignment="1">
      <alignment horizontal="center" vertical="center" textRotation="90"/>
    </xf>
    <xf numFmtId="0" fontId="9" fillId="15" borderId="295" xfId="0" applyFont="1" applyFill="1" applyBorder="1" applyAlignment="1">
      <alignment horizontal="center" vertical="center" textRotation="90" wrapText="1"/>
    </xf>
    <xf numFmtId="0" fontId="9" fillId="15" borderId="74" xfId="0" applyFont="1" applyFill="1" applyBorder="1" applyAlignment="1">
      <alignment horizontal="center" vertical="center" textRotation="90" wrapText="1"/>
    </xf>
    <xf numFmtId="0" fontId="9" fillId="15" borderId="265" xfId="0" applyFont="1" applyFill="1" applyBorder="1" applyAlignment="1">
      <alignment horizontal="center" vertical="center" textRotation="90" wrapText="1"/>
    </xf>
    <xf numFmtId="0" fontId="1" fillId="31" borderId="323" xfId="0" applyFont="1" applyFill="1" applyBorder="1" applyAlignment="1">
      <alignment horizontal="center" vertical="center" textRotation="90"/>
    </xf>
    <xf numFmtId="0" fontId="1" fillId="31" borderId="324" xfId="0" applyFont="1" applyFill="1" applyBorder="1" applyAlignment="1">
      <alignment horizontal="center" vertical="center" textRotation="90"/>
    </xf>
    <xf numFmtId="0" fontId="1" fillId="31" borderId="325" xfId="0" applyFont="1" applyFill="1" applyBorder="1" applyAlignment="1">
      <alignment horizontal="center" vertical="center" textRotation="90"/>
    </xf>
    <xf numFmtId="0" fontId="3" fillId="7" borderId="298" xfId="0" applyFont="1" applyFill="1" applyBorder="1" applyAlignment="1">
      <alignment horizontal="center" vertical="center"/>
    </xf>
    <xf numFmtId="0" fontId="3" fillId="7" borderId="280" xfId="0" applyFont="1" applyFill="1" applyBorder="1" applyAlignment="1">
      <alignment horizontal="center" vertical="center"/>
    </xf>
    <xf numFmtId="0" fontId="3" fillId="7" borderId="270" xfId="0" applyFont="1" applyFill="1" applyBorder="1" applyAlignment="1">
      <alignment horizontal="center" vertical="center"/>
    </xf>
    <xf numFmtId="0" fontId="3" fillId="7" borderId="265" xfId="0" applyFont="1" applyFill="1" applyBorder="1" applyAlignment="1">
      <alignment horizontal="center" vertical="center" wrapText="1"/>
    </xf>
    <xf numFmtId="0" fontId="3" fillId="7" borderId="296" xfId="0" applyFont="1" applyFill="1" applyBorder="1" applyAlignment="1">
      <alignment horizontal="center" vertical="center" wrapText="1"/>
    </xf>
    <xf numFmtId="0" fontId="3" fillId="7" borderId="154" xfId="0" applyFont="1" applyFill="1" applyBorder="1" applyAlignment="1">
      <alignment horizontal="center" vertical="center" wrapText="1"/>
    </xf>
    <xf numFmtId="0" fontId="3" fillId="7" borderId="48" xfId="0" applyFont="1" applyFill="1" applyBorder="1" applyAlignment="1">
      <alignment horizontal="center" vertical="center" wrapText="1"/>
    </xf>
    <xf numFmtId="0" fontId="3" fillId="7" borderId="224" xfId="0" applyFont="1" applyFill="1" applyBorder="1" applyAlignment="1">
      <alignment horizontal="center" vertical="center" wrapText="1"/>
    </xf>
    <xf numFmtId="0" fontId="3" fillId="7" borderId="316" xfId="0" applyFont="1" applyFill="1" applyBorder="1" applyAlignment="1">
      <alignment horizontal="center" vertical="center" wrapText="1"/>
    </xf>
    <xf numFmtId="0" fontId="6" fillId="0" borderId="228" xfId="0" applyFont="1" applyBorder="1" applyAlignment="1">
      <alignment horizontal="center" vertical="center"/>
    </xf>
    <xf numFmtId="0" fontId="6" fillId="0" borderId="227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0" fontId="3" fillId="4" borderId="33" xfId="1" applyFont="1" applyFill="1" applyBorder="1" applyAlignment="1">
      <alignment horizontal="center" vertical="center"/>
    </xf>
    <xf numFmtId="0" fontId="4" fillId="2" borderId="129" xfId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4" fillId="2" borderId="52" xfId="1" applyFont="1" applyFill="1" applyBorder="1" applyAlignment="1">
      <alignment horizontal="center" vertical="center"/>
    </xf>
    <xf numFmtId="0" fontId="4" fillId="2" borderId="13" xfId="1" applyFont="1" applyFill="1" applyBorder="1" applyAlignment="1">
      <alignment horizontal="center" vertical="center"/>
    </xf>
    <xf numFmtId="0" fontId="4" fillId="2" borderId="14" xfId="1" applyFont="1" applyFill="1" applyBorder="1" applyAlignment="1">
      <alignment horizontal="center" vertical="center"/>
    </xf>
    <xf numFmtId="0" fontId="4" fillId="2" borderId="15" xfId="1" applyFont="1" applyFill="1" applyBorder="1" applyAlignment="1">
      <alignment horizontal="center" vertical="center"/>
    </xf>
    <xf numFmtId="0" fontId="5" fillId="0" borderId="77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6" fillId="0" borderId="224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6" fillId="0" borderId="258" xfId="0" applyFont="1" applyBorder="1" applyAlignment="1">
      <alignment horizontal="center"/>
    </xf>
    <xf numFmtId="0" fontId="6" fillId="0" borderId="145" xfId="0" applyFont="1" applyBorder="1" applyAlignment="1">
      <alignment horizontal="center"/>
    </xf>
    <xf numFmtId="0" fontId="2" fillId="0" borderId="203" xfId="0" applyFont="1" applyBorder="1" applyAlignment="1">
      <alignment horizontal="center"/>
    </xf>
    <xf numFmtId="0" fontId="2" fillId="0" borderId="204" xfId="0" applyFont="1" applyBorder="1" applyAlignment="1">
      <alignment horizontal="center"/>
    </xf>
    <xf numFmtId="0" fontId="6" fillId="0" borderId="241" xfId="0" applyFont="1" applyBorder="1" applyAlignment="1">
      <alignment horizontal="center"/>
    </xf>
    <xf numFmtId="0" fontId="6" fillId="0" borderId="150" xfId="0" applyFont="1" applyBorder="1" applyAlignment="1">
      <alignment horizontal="center"/>
    </xf>
    <xf numFmtId="0" fontId="6" fillId="0" borderId="231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228" xfId="0" applyFont="1" applyBorder="1" applyAlignment="1">
      <alignment horizontal="center"/>
    </xf>
    <xf numFmtId="0" fontId="6" fillId="0" borderId="227" xfId="0" applyFont="1" applyBorder="1" applyAlignment="1">
      <alignment horizontal="center"/>
    </xf>
    <xf numFmtId="0" fontId="6" fillId="0" borderId="78" xfId="0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/>
    </xf>
    <xf numFmtId="164" fontId="2" fillId="0" borderId="15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0" borderId="37" xfId="0" applyNumberFormat="1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43" xfId="0" applyFont="1" applyBorder="1" applyAlignment="1">
      <alignment horizontal="center"/>
    </xf>
    <xf numFmtId="0" fontId="9" fillId="0" borderId="4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43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4" fontId="1" fillId="0" borderId="37" xfId="0" applyNumberFormat="1" applyFont="1" applyBorder="1" applyAlignment="1">
      <alignment horizontal="center"/>
    </xf>
    <xf numFmtId="0" fontId="1" fillId="0" borderId="242" xfId="0" applyFont="1" applyBorder="1" applyAlignment="1">
      <alignment horizontal="center"/>
    </xf>
    <xf numFmtId="0" fontId="2" fillId="0" borderId="128" xfId="0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64" fontId="2" fillId="0" borderId="25" xfId="0" applyNumberFormat="1" applyFont="1" applyBorder="1" applyAlignment="1">
      <alignment horizontal="center"/>
    </xf>
    <xf numFmtId="0" fontId="2" fillId="0" borderId="146" xfId="0" applyFont="1" applyBorder="1" applyAlignment="1">
      <alignment horizontal="center"/>
    </xf>
    <xf numFmtId="0" fontId="2" fillId="0" borderId="127" xfId="0" applyFont="1" applyBorder="1" applyAlignment="1">
      <alignment horizontal="center"/>
    </xf>
    <xf numFmtId="0" fontId="2" fillId="0" borderId="135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16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12" fillId="0" borderId="224" xfId="0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0" fontId="12" fillId="0" borderId="224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26" fillId="0" borderId="111" xfId="0" applyFont="1" applyBorder="1" applyAlignment="1">
      <alignment horizontal="center" vertical="center"/>
    </xf>
    <xf numFmtId="0" fontId="26" fillId="0" borderId="108" xfId="0" applyFont="1" applyBorder="1" applyAlignment="1">
      <alignment horizontal="center" vertical="center"/>
    </xf>
    <xf numFmtId="0" fontId="9" fillId="0" borderId="241" xfId="1" applyFont="1" applyBorder="1" applyAlignment="1">
      <alignment horizontal="center" vertical="center"/>
    </xf>
    <xf numFmtId="0" fontId="9" fillId="0" borderId="150" xfId="1" applyFont="1" applyBorder="1" applyAlignment="1">
      <alignment horizontal="center" vertical="center"/>
    </xf>
    <xf numFmtId="0" fontId="9" fillId="0" borderId="224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164" fontId="9" fillId="0" borderId="224" xfId="0" applyNumberFormat="1" applyFont="1" applyBorder="1" applyAlignment="1">
      <alignment horizontal="center" vertical="center"/>
    </xf>
    <xf numFmtId="164" fontId="9" fillId="0" borderId="46" xfId="0" applyNumberFormat="1" applyFont="1" applyBorder="1" applyAlignment="1">
      <alignment horizontal="center" vertical="center"/>
    </xf>
    <xf numFmtId="0" fontId="1" fillId="0" borderId="228" xfId="0" applyFont="1" applyBorder="1" applyAlignment="1">
      <alignment horizontal="center" vertical="center"/>
    </xf>
    <xf numFmtId="0" fontId="1" fillId="0" borderId="227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12" fillId="0" borderId="231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1" fillId="0" borderId="78" xfId="0" applyFont="1" applyBorder="1" applyAlignment="1">
      <alignment horizontal="center" vertical="center"/>
    </xf>
    <xf numFmtId="0" fontId="12" fillId="0" borderId="258" xfId="0" applyFont="1" applyBorder="1" applyAlignment="1">
      <alignment horizontal="center"/>
    </xf>
    <xf numFmtId="0" fontId="12" fillId="0" borderId="145" xfId="0" applyFont="1" applyBorder="1" applyAlignment="1">
      <alignment horizontal="center"/>
    </xf>
    <xf numFmtId="0" fontId="12" fillId="0" borderId="241" xfId="0" applyFont="1" applyBorder="1" applyAlignment="1">
      <alignment horizontal="center"/>
    </xf>
    <xf numFmtId="0" fontId="12" fillId="0" borderId="150" xfId="0" applyFont="1" applyBorder="1" applyAlignment="1">
      <alignment horizontal="center"/>
    </xf>
    <xf numFmtId="0" fontId="12" fillId="0" borderId="277" xfId="0" applyFont="1" applyBorder="1" applyAlignment="1">
      <alignment horizontal="center"/>
    </xf>
    <xf numFmtId="0" fontId="12" fillId="0" borderId="154" xfId="0" applyFont="1" applyBorder="1" applyAlignment="1">
      <alignment horizontal="center"/>
    </xf>
    <xf numFmtId="0" fontId="12" fillId="0" borderId="300" xfId="0" applyFont="1" applyBorder="1" applyAlignment="1">
      <alignment horizontal="center"/>
    </xf>
    <xf numFmtId="0" fontId="12" fillId="0" borderId="269" xfId="0" applyFont="1" applyBorder="1" applyAlignment="1">
      <alignment horizontal="center"/>
    </xf>
    <xf numFmtId="0" fontId="12" fillId="0" borderId="71" xfId="0" applyFont="1" applyBorder="1" applyAlignment="1">
      <alignment horizontal="center"/>
    </xf>
    <xf numFmtId="0" fontId="12" fillId="0" borderId="71" xfId="0" applyFont="1" applyBorder="1" applyAlignment="1">
      <alignment horizontal="center" vertical="center"/>
    </xf>
    <xf numFmtId="0" fontId="12" fillId="0" borderId="164" xfId="0" applyFont="1" applyBorder="1" applyAlignment="1">
      <alignment horizontal="center" vertical="center"/>
    </xf>
    <xf numFmtId="0" fontId="9" fillId="0" borderId="71" xfId="0" applyFont="1" applyBorder="1" applyAlignment="1">
      <alignment horizontal="center" vertical="center"/>
    </xf>
    <xf numFmtId="164" fontId="9" fillId="0" borderId="71" xfId="0" applyNumberFormat="1" applyFont="1" applyBorder="1" applyAlignment="1">
      <alignment horizontal="center" vertical="center"/>
    </xf>
    <xf numFmtId="0" fontId="12" fillId="0" borderId="98" xfId="0" applyFont="1" applyBorder="1" applyAlignment="1">
      <alignment horizontal="center"/>
    </xf>
    <xf numFmtId="0" fontId="12" fillId="0" borderId="68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0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2" fillId="0" borderId="231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2" fillId="0" borderId="242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3" fillId="4" borderId="51" xfId="1" applyFont="1" applyFill="1" applyBorder="1" applyAlignment="1">
      <alignment horizontal="center" vertical="center"/>
    </xf>
    <xf numFmtId="0" fontId="3" fillId="4" borderId="54" xfId="1" applyFont="1" applyFill="1" applyBorder="1" applyAlignment="1">
      <alignment horizontal="center" vertical="center"/>
    </xf>
    <xf numFmtId="0" fontId="3" fillId="4" borderId="41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5" fillId="4" borderId="0" xfId="1" applyFont="1" applyFill="1" applyAlignment="1">
      <alignment horizontal="center" vertical="center"/>
    </xf>
    <xf numFmtId="0" fontId="5" fillId="4" borderId="37" xfId="1" applyFont="1" applyFill="1" applyBorder="1" applyAlignment="1">
      <alignment horizontal="center" vertical="center"/>
    </xf>
    <xf numFmtId="0" fontId="5" fillId="4" borderId="2" xfId="1" applyFont="1" applyFill="1" applyBorder="1" applyAlignment="1">
      <alignment horizontal="center" vertical="center"/>
    </xf>
    <xf numFmtId="0" fontId="5" fillId="4" borderId="20" xfId="1" applyFont="1" applyFill="1" applyBorder="1" applyAlignment="1">
      <alignment horizontal="center" vertical="center"/>
    </xf>
    <xf numFmtId="0" fontId="3" fillId="4" borderId="192" xfId="1" applyFont="1" applyFill="1" applyBorder="1" applyAlignment="1">
      <alignment horizontal="center" vertical="center" wrapText="1"/>
    </xf>
    <xf numFmtId="0" fontId="3" fillId="4" borderId="193" xfId="1" applyFont="1" applyFill="1" applyBorder="1" applyAlignment="1">
      <alignment horizontal="center" vertical="center" wrapText="1"/>
    </xf>
    <xf numFmtId="0" fontId="3" fillId="4" borderId="12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 wrapText="1"/>
    </xf>
    <xf numFmtId="0" fontId="3" fillId="4" borderId="42" xfId="1" applyFont="1" applyFill="1" applyBorder="1" applyAlignment="1">
      <alignment horizontal="center" vertical="center" wrapText="1"/>
    </xf>
    <xf numFmtId="0" fontId="3" fillId="4" borderId="6" xfId="1" applyFont="1" applyFill="1" applyBorder="1" applyAlignment="1">
      <alignment horizontal="center" vertical="center" wrapText="1"/>
    </xf>
    <xf numFmtId="0" fontId="2" fillId="0" borderId="241" xfId="1" applyBorder="1" applyAlignment="1">
      <alignment horizontal="center" vertical="center"/>
    </xf>
    <xf numFmtId="0" fontId="2" fillId="0" borderId="150" xfId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" fillId="4" borderId="77" xfId="1" applyFont="1" applyFill="1" applyBorder="1" applyAlignment="1">
      <alignment horizontal="center" vertical="center"/>
    </xf>
    <xf numFmtId="0" fontId="3" fillId="4" borderId="234" xfId="1" applyFont="1" applyFill="1" applyBorder="1" applyAlignment="1">
      <alignment horizontal="center" vertical="center"/>
    </xf>
    <xf numFmtId="0" fontId="1" fillId="0" borderId="202" xfId="0" applyFont="1" applyBorder="1" applyAlignment="1">
      <alignment horizontal="center" vertical="center"/>
    </xf>
    <xf numFmtId="0" fontId="1" fillId="0" borderId="203" xfId="0" applyFont="1" applyBorder="1" applyAlignment="1">
      <alignment horizontal="center" vertical="center" wrapText="1"/>
    </xf>
    <xf numFmtId="0" fontId="1" fillId="0" borderId="173" xfId="0" applyFont="1" applyBorder="1" applyAlignment="1">
      <alignment horizontal="center" vertical="center" wrapText="1"/>
    </xf>
    <xf numFmtId="0" fontId="1" fillId="0" borderId="20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5" fillId="0" borderId="108" xfId="0" applyFont="1" applyBorder="1" applyAlignment="1">
      <alignment horizontal="center" vertical="center"/>
    </xf>
    <xf numFmtId="0" fontId="5" fillId="0" borderId="108" xfId="0" applyFont="1" applyBorder="1" applyAlignment="1">
      <alignment horizontal="center" vertical="center" wrapText="1"/>
    </xf>
    <xf numFmtId="0" fontId="1" fillId="0" borderId="203" xfId="0" applyFont="1" applyBorder="1" applyAlignment="1">
      <alignment horizontal="center" vertical="center"/>
    </xf>
    <xf numFmtId="0" fontId="1" fillId="0" borderId="173" xfId="0" applyFont="1" applyBorder="1" applyAlignment="1">
      <alignment horizontal="center" vertical="center"/>
    </xf>
    <xf numFmtId="0" fontId="1" fillId="0" borderId="204" xfId="0" applyFont="1" applyBorder="1" applyAlignment="1">
      <alignment horizontal="center" vertical="center"/>
    </xf>
    <xf numFmtId="0" fontId="2" fillId="0" borderId="222" xfId="1" applyBorder="1" applyAlignment="1">
      <alignment horizontal="center" vertical="center"/>
    </xf>
    <xf numFmtId="0" fontId="2" fillId="0" borderId="197" xfId="1" applyBorder="1" applyAlignment="1">
      <alignment horizontal="center" vertical="center"/>
    </xf>
    <xf numFmtId="0" fontId="9" fillId="0" borderId="223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68" xfId="1" applyBorder="1" applyAlignment="1">
      <alignment horizontal="center" vertical="center"/>
    </xf>
    <xf numFmtId="0" fontId="2" fillId="2" borderId="24" xfId="1" applyFill="1" applyBorder="1" applyAlignment="1">
      <alignment horizontal="center" vertical="center"/>
    </xf>
    <xf numFmtId="0" fontId="2" fillId="2" borderId="16" xfId="1" applyFill="1" applyBorder="1" applyAlignment="1">
      <alignment horizontal="center" vertical="center"/>
    </xf>
    <xf numFmtId="0" fontId="2" fillId="2" borderId="25" xfId="1" applyFill="1" applyBorder="1" applyAlignment="1">
      <alignment horizontal="center" vertical="center"/>
    </xf>
    <xf numFmtId="0" fontId="2" fillId="2" borderId="13" xfId="1" applyFill="1" applyBorder="1" applyAlignment="1">
      <alignment horizontal="center" vertical="center"/>
    </xf>
    <xf numFmtId="0" fontId="2" fillId="2" borderId="14" xfId="1" applyFill="1" applyBorder="1" applyAlignment="1">
      <alignment horizontal="center" vertical="center"/>
    </xf>
    <xf numFmtId="0" fontId="2" fillId="2" borderId="15" xfId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108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120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2" fillId="0" borderId="171" xfId="0" applyFont="1" applyBorder="1" applyAlignment="1">
      <alignment horizontal="center" vertical="center"/>
    </xf>
    <xf numFmtId="0" fontId="2" fillId="0" borderId="172" xfId="0" applyFont="1" applyBorder="1" applyAlignment="1">
      <alignment horizontal="center" vertical="center"/>
    </xf>
    <xf numFmtId="0" fontId="2" fillId="0" borderId="190" xfId="0" applyFont="1" applyBorder="1" applyAlignment="1">
      <alignment horizontal="center"/>
    </xf>
    <xf numFmtId="0" fontId="2" fillId="0" borderId="184" xfId="0" applyFont="1" applyBorder="1" applyAlignment="1">
      <alignment horizontal="center"/>
    </xf>
    <xf numFmtId="0" fontId="2" fillId="0" borderId="191" xfId="0" applyFont="1" applyBorder="1" applyAlignment="1">
      <alignment horizontal="center"/>
    </xf>
    <xf numFmtId="0" fontId="2" fillId="0" borderId="187" xfId="0" applyFont="1" applyBorder="1" applyAlignment="1">
      <alignment horizontal="center"/>
    </xf>
    <xf numFmtId="0" fontId="16" fillId="0" borderId="111" xfId="0" applyFont="1" applyBorder="1" applyAlignment="1">
      <alignment horizontal="center" vertical="center"/>
    </xf>
    <xf numFmtId="0" fontId="16" fillId="0" borderId="108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/>
    </xf>
    <xf numFmtId="0" fontId="2" fillId="0" borderId="108" xfId="0" applyFont="1" applyBorder="1" applyAlignment="1">
      <alignment horizontal="center"/>
    </xf>
    <xf numFmtId="0" fontId="2" fillId="0" borderId="120" xfId="0" applyFont="1" applyBorder="1" applyAlignment="1">
      <alignment horizontal="center"/>
    </xf>
    <xf numFmtId="0" fontId="1" fillId="0" borderId="43" xfId="0" applyFont="1" applyBorder="1" applyAlignment="1">
      <alignment horizontal="center" vertical="center" textRotation="90"/>
    </xf>
    <xf numFmtId="0" fontId="1" fillId="0" borderId="120" xfId="0" applyFont="1" applyBorder="1" applyAlignment="1">
      <alignment horizontal="center" vertical="center" textRotation="90"/>
    </xf>
    <xf numFmtId="0" fontId="1" fillId="0" borderId="55" xfId="0" applyFont="1" applyBorder="1" applyAlignment="1">
      <alignment horizontal="center" vertical="center" textRotation="90"/>
    </xf>
    <xf numFmtId="0" fontId="1" fillId="0" borderId="171" xfId="0" applyFont="1" applyBorder="1" applyAlignment="1">
      <alignment horizontal="center"/>
    </xf>
    <xf numFmtId="0" fontId="1" fillId="0" borderId="172" xfId="0" applyFont="1" applyBorder="1" applyAlignment="1">
      <alignment horizontal="center"/>
    </xf>
    <xf numFmtId="0" fontId="5" fillId="0" borderId="120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4" borderId="192" xfId="0" applyFont="1" applyFill="1" applyBorder="1" applyAlignment="1">
      <alignment horizontal="center" vertical="center"/>
    </xf>
    <xf numFmtId="0" fontId="3" fillId="4" borderId="193" xfId="0" applyFont="1" applyFill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1" fillId="0" borderId="201" xfId="0" applyFont="1" applyBorder="1" applyAlignment="1">
      <alignment horizontal="center" vertical="center"/>
    </xf>
    <xf numFmtId="0" fontId="9" fillId="0" borderId="68" xfId="1" applyFont="1" applyBorder="1" applyAlignment="1">
      <alignment horizontal="center" vertical="center"/>
    </xf>
    <xf numFmtId="0" fontId="10" fillId="0" borderId="169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175" xfId="0" applyFont="1" applyBorder="1" applyAlignment="1">
      <alignment horizontal="center" vertical="center"/>
    </xf>
    <xf numFmtId="0" fontId="10" fillId="0" borderId="134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0" fontId="2" fillId="0" borderId="115" xfId="0" applyFont="1" applyBorder="1" applyAlignment="1">
      <alignment horizontal="center" vertical="center"/>
    </xf>
    <xf numFmtId="0" fontId="2" fillId="0" borderId="17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3" fontId="2" fillId="2" borderId="8" xfId="1" applyNumberFormat="1" applyFill="1" applyBorder="1" applyAlignment="1">
      <alignment horizontal="center" vertical="center"/>
    </xf>
    <xf numFmtId="3" fontId="2" fillId="2" borderId="32" xfId="1" applyNumberFormat="1" applyFill="1" applyBorder="1" applyAlignment="1">
      <alignment horizontal="center" vertical="center"/>
    </xf>
    <xf numFmtId="3" fontId="2" fillId="2" borderId="33" xfId="1" applyNumberFormat="1" applyFill="1" applyBorder="1" applyAlignment="1">
      <alignment horizontal="center" vertical="center"/>
    </xf>
    <xf numFmtId="3" fontId="2" fillId="0" borderId="8" xfId="1" applyNumberFormat="1" applyBorder="1" applyAlignment="1">
      <alignment horizontal="center" vertical="center"/>
    </xf>
    <xf numFmtId="3" fontId="2" fillId="0" borderId="32" xfId="1" applyNumberFormat="1" applyBorder="1" applyAlignment="1">
      <alignment horizontal="center" vertical="center"/>
    </xf>
    <xf numFmtId="3" fontId="2" fillId="0" borderId="33" xfId="1" applyNumberFormat="1" applyBorder="1" applyAlignment="1">
      <alignment horizontal="center" vertical="center"/>
    </xf>
    <xf numFmtId="3" fontId="1" fillId="0" borderId="8" xfId="2" applyNumberFormat="1" applyFont="1" applyBorder="1" applyAlignment="1">
      <alignment horizontal="center" vertical="center"/>
    </xf>
    <xf numFmtId="3" fontId="1" fillId="0" borderId="32" xfId="2" applyNumberFormat="1" applyFont="1" applyBorder="1" applyAlignment="1">
      <alignment horizontal="center" vertical="center"/>
    </xf>
    <xf numFmtId="3" fontId="1" fillId="0" borderId="33" xfId="2" applyNumberFormat="1" applyFont="1" applyBorder="1" applyAlignment="1">
      <alignment horizontal="center" vertical="center"/>
    </xf>
    <xf numFmtId="0" fontId="1" fillId="0" borderId="138" xfId="0" applyFont="1" applyBorder="1" applyAlignment="1">
      <alignment horizontal="center" vertical="center" wrapText="1"/>
    </xf>
    <xf numFmtId="0" fontId="1" fillId="0" borderId="237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" fillId="0" borderId="179" xfId="0" applyFont="1" applyBorder="1" applyAlignment="1">
      <alignment horizontal="center"/>
    </xf>
    <xf numFmtId="1" fontId="5" fillId="0" borderId="201" xfId="0" applyNumberFormat="1" applyFont="1" applyBorder="1" applyAlignment="1">
      <alignment horizontal="center" vertical="center"/>
    </xf>
    <xf numFmtId="1" fontId="5" fillId="0" borderId="138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/>
    </xf>
    <xf numFmtId="0" fontId="1" fillId="0" borderId="236" xfId="0" applyFont="1" applyBorder="1" applyAlignment="1">
      <alignment horizontal="center" vertical="center"/>
    </xf>
    <xf numFmtId="0" fontId="1" fillId="0" borderId="130" xfId="0" applyFont="1" applyBorder="1" applyAlignment="1">
      <alignment horizontal="center" vertical="center"/>
    </xf>
    <xf numFmtId="0" fontId="1" fillId="0" borderId="237" xfId="0" applyFont="1" applyBorder="1" applyAlignment="1">
      <alignment horizontal="center" vertical="center"/>
    </xf>
    <xf numFmtId="0" fontId="1" fillId="0" borderId="180" xfId="0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128" xfId="0" applyFont="1" applyBorder="1" applyAlignment="1">
      <alignment horizontal="center"/>
    </xf>
    <xf numFmtId="0" fontId="1" fillId="0" borderId="238" xfId="0" applyFont="1" applyBorder="1" applyAlignment="1">
      <alignment horizontal="center"/>
    </xf>
    <xf numFmtId="0" fontId="1" fillId="0" borderId="244" xfId="0" applyFont="1" applyBorder="1" applyAlignment="1">
      <alignment horizontal="center"/>
    </xf>
    <xf numFmtId="0" fontId="1" fillId="0" borderId="146" xfId="0" applyFont="1" applyBorder="1" applyAlignment="1">
      <alignment horizontal="center"/>
    </xf>
    <xf numFmtId="0" fontId="1" fillId="0" borderId="127" xfId="0" applyFont="1" applyBorder="1" applyAlignment="1">
      <alignment horizontal="center"/>
    </xf>
    <xf numFmtId="0" fontId="1" fillId="0" borderId="135" xfId="0" applyFont="1" applyBorder="1" applyAlignment="1">
      <alignment horizontal="center"/>
    </xf>
    <xf numFmtId="0" fontId="1" fillId="0" borderId="146" xfId="0" quotePrefix="1" applyFont="1" applyBorder="1" applyAlignment="1">
      <alignment horizontal="center" vertical="center"/>
    </xf>
    <xf numFmtId="0" fontId="1" fillId="0" borderId="127" xfId="0" quotePrefix="1" applyFont="1" applyBorder="1" applyAlignment="1">
      <alignment horizontal="center" vertical="center"/>
    </xf>
    <xf numFmtId="0" fontId="1" fillId="0" borderId="128" xfId="0" quotePrefix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/>
    </xf>
    <xf numFmtId="0" fontId="1" fillId="0" borderId="106" xfId="0" applyFont="1" applyBorder="1" applyAlignment="1">
      <alignment horizontal="center" vertical="center"/>
    </xf>
    <xf numFmtId="0" fontId="2" fillId="0" borderId="146" xfId="0" applyFont="1" applyBorder="1" applyAlignment="1">
      <alignment horizontal="center" vertical="center"/>
    </xf>
    <xf numFmtId="0" fontId="2" fillId="0" borderId="127" xfId="0" applyFont="1" applyBorder="1" applyAlignment="1">
      <alignment horizontal="center" vertical="center"/>
    </xf>
    <xf numFmtId="0" fontId="2" fillId="0" borderId="128" xfId="0" applyFont="1" applyBorder="1" applyAlignment="1">
      <alignment horizontal="center" vertical="center"/>
    </xf>
    <xf numFmtId="0" fontId="2" fillId="0" borderId="150" xfId="0" applyFont="1" applyBorder="1" applyAlignment="1">
      <alignment horizontal="left" vertical="center"/>
    </xf>
    <xf numFmtId="0" fontId="2" fillId="0" borderId="154" xfId="0" applyFont="1" applyBorder="1" applyAlignment="1">
      <alignment horizontal="left" vertical="center"/>
    </xf>
    <xf numFmtId="164" fontId="2" fillId="0" borderId="118" xfId="0" applyNumberFormat="1" applyFont="1" applyBorder="1" applyAlignment="1">
      <alignment horizontal="center" vertical="center"/>
    </xf>
    <xf numFmtId="164" fontId="2" fillId="0" borderId="164" xfId="0" applyNumberFormat="1" applyFont="1" applyBorder="1" applyAlignment="1">
      <alignment horizontal="center" vertical="center"/>
    </xf>
    <xf numFmtId="164" fontId="2" fillId="0" borderId="165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13" fillId="0" borderId="160" xfId="0" applyFont="1" applyBorder="1" applyAlignment="1">
      <alignment horizontal="center" vertical="center"/>
    </xf>
    <xf numFmtId="0" fontId="13" fillId="0" borderId="161" xfId="0" applyFont="1" applyBorder="1" applyAlignment="1">
      <alignment horizontal="center" vertical="center"/>
    </xf>
    <xf numFmtId="0" fontId="13" fillId="0" borderId="125" xfId="0" applyFont="1" applyBorder="1" applyAlignment="1">
      <alignment horizontal="center" vertical="center"/>
    </xf>
    <xf numFmtId="0" fontId="5" fillId="0" borderId="155" xfId="0" applyFont="1" applyBorder="1" applyAlignment="1">
      <alignment horizontal="center" vertical="center"/>
    </xf>
    <xf numFmtId="0" fontId="5" fillId="0" borderId="156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0" fontId="5" fillId="0" borderId="261" xfId="0" applyFont="1" applyBorder="1" applyAlignment="1">
      <alignment horizontal="center" vertical="center"/>
    </xf>
    <xf numFmtId="0" fontId="2" fillId="0" borderId="259" xfId="0" applyFont="1" applyBorder="1" applyAlignment="1">
      <alignment horizontal="left" vertical="center"/>
    </xf>
    <xf numFmtId="0" fontId="2" fillId="0" borderId="260" xfId="0" applyFont="1" applyBorder="1" applyAlignment="1">
      <alignment horizontal="left" vertical="center"/>
    </xf>
    <xf numFmtId="0" fontId="2" fillId="0" borderId="199" xfId="0" applyFont="1" applyBorder="1" applyAlignment="1">
      <alignment horizontal="center"/>
    </xf>
    <xf numFmtId="0" fontId="2" fillId="0" borderId="299" xfId="0" applyFont="1" applyBorder="1" applyAlignment="1">
      <alignment horizontal="center"/>
    </xf>
    <xf numFmtId="0" fontId="2" fillId="0" borderId="313" xfId="0" applyFont="1" applyBorder="1" applyAlignment="1">
      <alignment horizontal="center"/>
    </xf>
    <xf numFmtId="0" fontId="2" fillId="0" borderId="200" xfId="0" applyFont="1" applyBorder="1" applyAlignment="1">
      <alignment horizontal="center"/>
    </xf>
    <xf numFmtId="0" fontId="9" fillId="0" borderId="222" xfId="0" applyFont="1" applyBorder="1" applyAlignment="1">
      <alignment horizontal="center" vertical="center" wrapText="1"/>
    </xf>
    <xf numFmtId="0" fontId="9" fillId="0" borderId="281" xfId="0" applyFont="1" applyBorder="1" applyAlignment="1">
      <alignment horizontal="center" vertical="center" wrapText="1"/>
    </xf>
    <xf numFmtId="0" fontId="9" fillId="0" borderId="300" xfId="0" applyFont="1" applyBorder="1" applyAlignment="1">
      <alignment horizontal="center" vertical="center" wrapText="1"/>
    </xf>
    <xf numFmtId="164" fontId="2" fillId="0" borderId="298" xfId="0" applyNumberFormat="1" applyFont="1" applyBorder="1" applyAlignment="1">
      <alignment horizontal="center"/>
    </xf>
    <xf numFmtId="0" fontId="2" fillId="0" borderId="140" xfId="0" applyFont="1" applyBorder="1" applyAlignment="1">
      <alignment horizontal="center"/>
    </xf>
    <xf numFmtId="0" fontId="2" fillId="0" borderId="198" xfId="0" applyFont="1" applyBorder="1" applyAlignment="1">
      <alignment horizontal="center"/>
    </xf>
    <xf numFmtId="0" fontId="2" fillId="0" borderId="280" xfId="0" applyFont="1" applyBorder="1" applyAlignment="1">
      <alignment horizontal="center"/>
    </xf>
    <xf numFmtId="0" fontId="2" fillId="0" borderId="270" xfId="0" applyFont="1" applyBorder="1" applyAlignment="1">
      <alignment horizontal="center"/>
    </xf>
    <xf numFmtId="164" fontId="2" fillId="0" borderId="312" xfId="0" applyNumberFormat="1" applyFont="1" applyBorder="1" applyAlignment="1">
      <alignment horizontal="center"/>
    </xf>
    <xf numFmtId="0" fontId="2" fillId="0" borderId="256" xfId="0" applyFont="1" applyBorder="1" applyAlignment="1">
      <alignment horizontal="center"/>
    </xf>
    <xf numFmtId="164" fontId="2" fillId="0" borderId="281" xfId="0" applyNumberFormat="1" applyFont="1" applyBorder="1" applyAlignment="1">
      <alignment horizontal="center"/>
    </xf>
    <xf numFmtId="0" fontId="1" fillId="0" borderId="222" xfId="0" applyFont="1" applyBorder="1" applyAlignment="1">
      <alignment horizontal="center"/>
    </xf>
    <xf numFmtId="0" fontId="1" fillId="0" borderId="300" xfId="0" applyFont="1" applyBorder="1" applyAlignment="1">
      <alignment horizontal="center"/>
    </xf>
    <xf numFmtId="0" fontId="2" fillId="0" borderId="312" xfId="0" applyFont="1" applyBorder="1" applyAlignment="1">
      <alignment horizontal="center"/>
    </xf>
    <xf numFmtId="0" fontId="1" fillId="0" borderId="4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307" xfId="0" applyFont="1" applyBorder="1" applyAlignment="1">
      <alignment horizontal="center" vertical="center"/>
    </xf>
    <xf numFmtId="0" fontId="1" fillId="0" borderId="293" xfId="0" applyFont="1" applyBorder="1" applyAlignment="1">
      <alignment horizontal="center" vertical="center"/>
    </xf>
    <xf numFmtId="0" fontId="1" fillId="0" borderId="294" xfId="0" applyFont="1" applyBorder="1" applyAlignment="1">
      <alignment horizontal="center" vertical="center"/>
    </xf>
    <xf numFmtId="0" fontId="5" fillId="0" borderId="179" xfId="0" applyFont="1" applyBorder="1" applyAlignment="1">
      <alignment horizontal="center"/>
    </xf>
    <xf numFmtId="0" fontId="5" fillId="0" borderId="171" xfId="0" applyFont="1" applyBorder="1" applyAlignment="1">
      <alignment horizontal="center"/>
    </xf>
    <xf numFmtId="0" fontId="2" fillId="0" borderId="289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2" fillId="0" borderId="222" xfId="0" applyFont="1" applyBorder="1" applyAlignment="1">
      <alignment horizontal="center"/>
    </xf>
    <xf numFmtId="0" fontId="2" fillId="0" borderId="281" xfId="0" applyFont="1" applyBorder="1" applyAlignment="1">
      <alignment horizontal="center"/>
    </xf>
    <xf numFmtId="0" fontId="2" fillId="0" borderId="300" xfId="0" applyFont="1" applyBorder="1" applyAlignment="1">
      <alignment horizontal="center"/>
    </xf>
    <xf numFmtId="0" fontId="1" fillId="0" borderId="198" xfId="0" applyFont="1" applyBorder="1" applyAlignment="1">
      <alignment horizontal="center"/>
    </xf>
    <xf numFmtId="0" fontId="1" fillId="0" borderId="280" xfId="0" applyFont="1" applyBorder="1" applyAlignment="1">
      <alignment horizontal="center"/>
    </xf>
    <xf numFmtId="0" fontId="1" fillId="0" borderId="270" xfId="0" applyFont="1" applyBorder="1" applyAlignment="1">
      <alignment horizontal="center"/>
    </xf>
    <xf numFmtId="0" fontId="1" fillId="0" borderId="281" xfId="0" applyFont="1" applyBorder="1" applyAlignment="1">
      <alignment horizontal="center"/>
    </xf>
    <xf numFmtId="0" fontId="5" fillId="0" borderId="247" xfId="0" applyFont="1" applyBorder="1" applyAlignment="1">
      <alignment horizontal="center" vertical="center"/>
    </xf>
    <xf numFmtId="0" fontId="5" fillId="0" borderId="291" xfId="0" applyFont="1" applyBorder="1" applyAlignment="1">
      <alignment horizontal="center" vertical="center"/>
    </xf>
    <xf numFmtId="0" fontId="5" fillId="0" borderId="292" xfId="0" applyFont="1" applyBorder="1" applyAlignment="1">
      <alignment horizontal="center" vertical="center"/>
    </xf>
    <xf numFmtId="0" fontId="2" fillId="0" borderId="298" xfId="0" applyFont="1" applyBorder="1" applyAlignment="1">
      <alignment horizontal="center"/>
    </xf>
    <xf numFmtId="0" fontId="14" fillId="10" borderId="283" xfId="0" applyFont="1" applyFill="1" applyBorder="1" applyAlignment="1">
      <alignment horizontal="center"/>
    </xf>
    <xf numFmtId="0" fontId="14" fillId="10" borderId="284" xfId="0" applyFont="1" applyFill="1" applyBorder="1" applyAlignment="1">
      <alignment horizontal="center"/>
    </xf>
    <xf numFmtId="0" fontId="14" fillId="10" borderId="285" xfId="0" applyFont="1" applyFill="1" applyBorder="1" applyAlignment="1">
      <alignment horizontal="center"/>
    </xf>
    <xf numFmtId="0" fontId="14" fillId="10" borderId="199" xfId="0" applyFont="1" applyFill="1" applyBorder="1" applyAlignment="1">
      <alignment horizontal="center"/>
    </xf>
    <xf numFmtId="0" fontId="14" fillId="10" borderId="289" xfId="0" applyFont="1" applyFill="1" applyBorder="1" applyAlignment="1">
      <alignment horizontal="center"/>
    </xf>
    <xf numFmtId="0" fontId="14" fillId="10" borderId="151" xfId="0" applyFont="1" applyFill="1" applyBorder="1" applyAlignment="1">
      <alignment horizontal="center"/>
    </xf>
    <xf numFmtId="0" fontId="14" fillId="10" borderId="287" xfId="0" applyFont="1" applyFill="1" applyBorder="1" applyAlignment="1">
      <alignment horizontal="center"/>
    </xf>
    <xf numFmtId="0" fontId="27" fillId="10" borderId="163" xfId="0" applyFont="1" applyFill="1" applyBorder="1" applyAlignment="1">
      <alignment horizontal="left"/>
    </xf>
    <xf numFmtId="0" fontId="27" fillId="10" borderId="289" xfId="0" applyFont="1" applyFill="1" applyBorder="1" applyAlignment="1">
      <alignment horizontal="left"/>
    </xf>
    <xf numFmtId="0" fontId="27" fillId="10" borderId="151" xfId="0" applyFont="1" applyFill="1" applyBorder="1" applyAlignment="1">
      <alignment horizontal="left"/>
    </xf>
    <xf numFmtId="0" fontId="14" fillId="8" borderId="247" xfId="0" applyFont="1" applyFill="1" applyBorder="1" applyAlignment="1">
      <alignment horizontal="center" vertical="center"/>
    </xf>
    <xf numFmtId="0" fontId="14" fillId="8" borderId="291" xfId="0" applyFont="1" applyFill="1" applyBorder="1" applyAlignment="1">
      <alignment horizontal="center" vertical="center"/>
    </xf>
    <xf numFmtId="0" fontId="14" fillId="8" borderId="292" xfId="0" applyFont="1" applyFill="1" applyBorder="1" applyAlignment="1">
      <alignment horizontal="center" vertical="center"/>
    </xf>
    <xf numFmtId="0" fontId="29" fillId="0" borderId="224" xfId="0" applyFont="1" applyBorder="1" applyAlignment="1">
      <alignment horizontal="center"/>
    </xf>
    <xf numFmtId="0" fontId="29" fillId="0" borderId="18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1" fillId="0" borderId="262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27" fillId="8" borderId="262" xfId="0" applyFont="1" applyFill="1" applyBorder="1" applyAlignment="1">
      <alignment horizontal="center" vertical="center"/>
    </xf>
    <xf numFmtId="0" fontId="27" fillId="8" borderId="7" xfId="0" applyFont="1" applyFill="1" applyBorder="1" applyAlignment="1">
      <alignment horizontal="center" vertical="center"/>
    </xf>
    <xf numFmtId="0" fontId="27" fillId="8" borderId="143" xfId="0" applyFont="1" applyFill="1" applyBorder="1" applyAlignment="1">
      <alignment horizontal="center" vertical="center"/>
    </xf>
    <xf numFmtId="0" fontId="14" fillId="0" borderId="278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95" xfId="0" applyFont="1" applyBorder="1" applyAlignment="1">
      <alignment horizontal="center"/>
    </xf>
    <xf numFmtId="0" fontId="14" fillId="0" borderId="303" xfId="0" applyFont="1" applyBorder="1" applyAlignment="1">
      <alignment horizontal="center" vertical="center"/>
    </xf>
    <xf numFmtId="0" fontId="14" fillId="0" borderId="293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10" borderId="286" xfId="0" applyFont="1" applyFill="1" applyBorder="1" applyAlignment="1">
      <alignment horizontal="center"/>
    </xf>
    <xf numFmtId="0" fontId="14" fillId="10" borderId="288" xfId="0" applyFont="1" applyFill="1" applyBorder="1" applyAlignment="1">
      <alignment horizontal="center"/>
    </xf>
    <xf numFmtId="43" fontId="14" fillId="10" borderId="149" xfId="2" applyFont="1" applyFill="1" applyBorder="1" applyAlignment="1">
      <alignment horizontal="center" vertical="center"/>
    </xf>
    <xf numFmtId="43" fontId="14" fillId="10" borderId="290" xfId="2" applyFont="1" applyFill="1" applyBorder="1" applyAlignment="1">
      <alignment horizontal="center" vertical="center"/>
    </xf>
    <xf numFmtId="0" fontId="29" fillId="10" borderId="286" xfId="0" applyFont="1" applyFill="1" applyBorder="1" applyAlignment="1">
      <alignment horizontal="center"/>
    </xf>
    <xf numFmtId="43" fontId="29" fillId="10" borderId="149" xfId="2" applyFont="1" applyFill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1" fillId="0" borderId="289" xfId="0" applyFont="1" applyBorder="1" applyAlignment="1">
      <alignment horizontal="center"/>
    </xf>
    <xf numFmtId="0" fontId="1" fillId="0" borderId="299" xfId="0" applyFont="1" applyBorder="1" applyAlignment="1">
      <alignment horizontal="center"/>
    </xf>
    <xf numFmtId="0" fontId="3" fillId="7" borderId="154" xfId="0" applyFont="1" applyFill="1" applyBorder="1" applyAlignment="1">
      <alignment horizontal="center" vertical="center"/>
    </xf>
    <xf numFmtId="0" fontId="3" fillId="7" borderId="48" xfId="0" applyFont="1" applyFill="1" applyBorder="1" applyAlignment="1">
      <alignment horizontal="center" vertical="center"/>
    </xf>
    <xf numFmtId="0" fontId="27" fillId="8" borderId="298" xfId="0" applyFont="1" applyFill="1" applyBorder="1" applyAlignment="1">
      <alignment horizontal="center" vertical="center"/>
    </xf>
    <xf numFmtId="0" fontId="27" fillId="8" borderId="280" xfId="0" applyFont="1" applyFill="1" applyBorder="1" applyAlignment="1">
      <alignment horizontal="center" vertical="center"/>
    </xf>
    <xf numFmtId="0" fontId="27" fillId="8" borderId="31" xfId="0" applyFont="1" applyFill="1" applyBorder="1" applyAlignment="1">
      <alignment horizontal="center" vertical="center"/>
    </xf>
    <xf numFmtId="0" fontId="2" fillId="0" borderId="154" xfId="1" applyBorder="1" applyAlignment="1">
      <alignment horizontal="center" vertical="center"/>
    </xf>
    <xf numFmtId="0" fontId="2" fillId="0" borderId="48" xfId="1" applyBorder="1" applyAlignment="1">
      <alignment horizontal="center" vertical="center"/>
    </xf>
    <xf numFmtId="0" fontId="1" fillId="17" borderId="295" xfId="0" applyFont="1" applyFill="1" applyBorder="1" applyAlignment="1">
      <alignment horizontal="center" vertical="center" textRotation="90"/>
    </xf>
    <xf numFmtId="0" fontId="1" fillId="17" borderId="74" xfId="0" applyFont="1" applyFill="1" applyBorder="1" applyAlignment="1">
      <alignment horizontal="center" vertical="center" textRotation="90"/>
    </xf>
    <xf numFmtId="0" fontId="1" fillId="4" borderId="295" xfId="0" applyFont="1" applyFill="1" applyBorder="1" applyAlignment="1">
      <alignment horizontal="center" vertical="center" textRotation="90"/>
    </xf>
    <xf numFmtId="0" fontId="1" fillId="4" borderId="74" xfId="0" applyFont="1" applyFill="1" applyBorder="1" applyAlignment="1">
      <alignment horizontal="center" vertical="center" textRotation="90"/>
    </xf>
    <xf numFmtId="0" fontId="1" fillId="4" borderId="265" xfId="0" applyFont="1" applyFill="1" applyBorder="1" applyAlignment="1">
      <alignment horizontal="center" vertical="center" textRotation="90"/>
    </xf>
    <xf numFmtId="0" fontId="31" fillId="11" borderId="295" xfId="0" applyFont="1" applyFill="1" applyBorder="1" applyAlignment="1">
      <alignment horizontal="center" vertical="center" textRotation="90"/>
    </xf>
    <xf numFmtId="0" fontId="31" fillId="11" borderId="74" xfId="0" applyFont="1" applyFill="1" applyBorder="1" applyAlignment="1">
      <alignment horizontal="center" vertical="center" textRotation="90"/>
    </xf>
    <xf numFmtId="0" fontId="31" fillId="11" borderId="265" xfId="0" applyFont="1" applyFill="1" applyBorder="1" applyAlignment="1">
      <alignment horizontal="center" vertical="center" textRotation="90"/>
    </xf>
    <xf numFmtId="0" fontId="1" fillId="9" borderId="295" xfId="0" applyFont="1" applyFill="1" applyBorder="1" applyAlignment="1">
      <alignment horizontal="center" vertical="center" textRotation="90"/>
    </xf>
    <xf numFmtId="0" fontId="27" fillId="8" borderId="46" xfId="0" applyFont="1" applyFill="1" applyBorder="1" applyAlignment="1">
      <alignment horizontal="center" vertical="center"/>
    </xf>
    <xf numFmtId="0" fontId="27" fillId="8" borderId="145" xfId="0" applyFont="1" applyFill="1" applyBorder="1" applyAlignment="1">
      <alignment horizontal="center" vertical="center"/>
    </xf>
    <xf numFmtId="0" fontId="27" fillId="8" borderId="162" xfId="0" applyFont="1" applyFill="1" applyBorder="1" applyAlignment="1">
      <alignment horizontal="center" vertical="center"/>
    </xf>
    <xf numFmtId="0" fontId="1" fillId="0" borderId="154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5" fillId="0" borderId="281" xfId="0" applyFont="1" applyBorder="1" applyAlignment="1">
      <alignment horizontal="center" vertical="center" wrapText="1"/>
    </xf>
    <xf numFmtId="0" fontId="5" fillId="0" borderId="22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95" xfId="0" applyFont="1" applyBorder="1" applyAlignment="1">
      <alignment horizontal="center" vertical="center" wrapText="1"/>
    </xf>
    <xf numFmtId="0" fontId="29" fillId="0" borderId="304" xfId="0" applyFont="1" applyBorder="1" applyAlignment="1">
      <alignment horizontal="center" wrapText="1"/>
    </xf>
    <xf numFmtId="0" fontId="29" fillId="0" borderId="48" xfId="0" applyFont="1" applyBorder="1" applyAlignment="1">
      <alignment horizontal="center" wrapText="1"/>
    </xf>
    <xf numFmtId="0" fontId="1" fillId="15" borderId="295" xfId="0" applyFont="1" applyFill="1" applyBorder="1" applyAlignment="1">
      <alignment horizontal="center" vertical="center" textRotation="90"/>
    </xf>
    <xf numFmtId="0" fontId="1" fillId="15" borderId="74" xfId="0" applyFont="1" applyFill="1" applyBorder="1" applyAlignment="1">
      <alignment horizontal="center" vertical="center" textRotation="90"/>
    </xf>
    <xf numFmtId="0" fontId="1" fillId="15" borderId="265" xfId="0" applyFont="1" applyFill="1" applyBorder="1" applyAlignment="1">
      <alignment horizontal="center" vertical="center" textRotation="90"/>
    </xf>
    <xf numFmtId="0" fontId="31" fillId="16" borderId="295" xfId="0" applyFont="1" applyFill="1" applyBorder="1" applyAlignment="1">
      <alignment horizontal="center" vertical="center" textRotation="90"/>
    </xf>
    <xf numFmtId="0" fontId="31" fillId="16" borderId="74" xfId="0" applyFont="1" applyFill="1" applyBorder="1" applyAlignment="1">
      <alignment horizontal="center" vertical="center" textRotation="90"/>
    </xf>
    <xf numFmtId="0" fontId="31" fillId="16" borderId="265" xfId="0" applyFont="1" applyFill="1" applyBorder="1" applyAlignment="1">
      <alignment horizontal="center" vertical="center" textRotation="90"/>
    </xf>
    <xf numFmtId="0" fontId="29" fillId="0" borderId="8" xfId="0" applyFont="1" applyBorder="1" applyAlignment="1">
      <alignment horizontal="center" vertical="center" wrapText="1"/>
    </xf>
    <xf numFmtId="0" fontId="29" fillId="0" borderId="103" xfId="0" applyFont="1" applyBorder="1" applyAlignment="1">
      <alignment horizontal="center" vertical="center" wrapText="1"/>
    </xf>
    <xf numFmtId="0" fontId="3" fillId="7" borderId="71" xfId="0" applyFont="1" applyFill="1" applyBorder="1" applyAlignment="1">
      <alignment horizontal="center" vertical="center"/>
    </xf>
    <xf numFmtId="0" fontId="1" fillId="18" borderId="74" xfId="0" applyFont="1" applyFill="1" applyBorder="1" applyAlignment="1">
      <alignment horizontal="center" vertical="center" textRotation="90" wrapText="1"/>
    </xf>
    <xf numFmtId="0" fontId="1" fillId="18" borderId="265" xfId="0" applyFont="1" applyFill="1" applyBorder="1" applyAlignment="1">
      <alignment horizontal="center" vertical="center" textRotation="90" wrapText="1"/>
    </xf>
    <xf numFmtId="0" fontId="1" fillId="18" borderId="295" xfId="0" applyFont="1" applyFill="1" applyBorder="1" applyAlignment="1">
      <alignment horizontal="center" vertical="center" textRotation="90" wrapText="1"/>
    </xf>
    <xf numFmtId="0" fontId="3" fillId="7" borderId="145" xfId="0" applyFont="1" applyFill="1" applyBorder="1" applyAlignment="1">
      <alignment horizontal="center" vertical="center"/>
    </xf>
    <xf numFmtId="0" fontId="3" fillId="7" borderId="297" xfId="0" applyFont="1" applyFill="1" applyBorder="1" applyAlignment="1">
      <alignment horizontal="center" vertical="center"/>
    </xf>
    <xf numFmtId="0" fontId="31" fillId="13" borderId="295" xfId="0" applyFont="1" applyFill="1" applyBorder="1" applyAlignment="1">
      <alignment horizontal="center" vertical="center" textRotation="90"/>
    </xf>
    <xf numFmtId="0" fontId="31" fillId="13" borderId="74" xfId="0" applyFont="1" applyFill="1" applyBorder="1" applyAlignment="1">
      <alignment horizontal="center" vertical="center" textRotation="90"/>
    </xf>
    <xf numFmtId="0" fontId="31" fillId="13" borderId="265" xfId="0" applyFont="1" applyFill="1" applyBorder="1" applyAlignment="1">
      <alignment horizontal="center" vertical="center" textRotation="90"/>
    </xf>
    <xf numFmtId="0" fontId="1" fillId="14" borderId="295" xfId="0" applyFont="1" applyFill="1" applyBorder="1" applyAlignment="1">
      <alignment horizontal="center" vertical="center" textRotation="90"/>
    </xf>
    <xf numFmtId="0" fontId="1" fillId="14" borderId="74" xfId="0" applyFont="1" applyFill="1" applyBorder="1" applyAlignment="1">
      <alignment horizontal="center" vertical="center" textRotation="90"/>
    </xf>
    <xf numFmtId="0" fontId="1" fillId="14" borderId="265" xfId="0" applyFont="1" applyFill="1" applyBorder="1" applyAlignment="1">
      <alignment horizontal="center" vertical="center" textRotation="90"/>
    </xf>
    <xf numFmtId="0" fontId="3" fillId="7" borderId="46" xfId="0" applyFont="1" applyFill="1" applyBorder="1" applyAlignment="1">
      <alignment horizontal="center" vertical="center"/>
    </xf>
    <xf numFmtId="0" fontId="3" fillId="7" borderId="276" xfId="0" applyFont="1" applyFill="1" applyBorder="1" applyAlignment="1">
      <alignment horizontal="center" vertical="center"/>
    </xf>
    <xf numFmtId="0" fontId="1" fillId="18" borderId="122" xfId="0" applyFont="1" applyFill="1" applyBorder="1" applyAlignment="1">
      <alignment horizontal="center" vertical="center" textRotation="90" wrapText="1"/>
    </xf>
    <xf numFmtId="0" fontId="1" fillId="12" borderId="295" xfId="0" applyFont="1" applyFill="1" applyBorder="1" applyAlignment="1">
      <alignment horizontal="center" vertical="center" textRotation="90"/>
    </xf>
    <xf numFmtId="0" fontId="1" fillId="12" borderId="74" xfId="0" applyFont="1" applyFill="1" applyBorder="1" applyAlignment="1">
      <alignment horizontal="center" vertical="center" textRotation="90"/>
    </xf>
    <xf numFmtId="0" fontId="1" fillId="12" borderId="265" xfId="0" applyFont="1" applyFill="1" applyBorder="1" applyAlignment="1">
      <alignment horizontal="center" vertical="center" textRotation="90"/>
    </xf>
    <xf numFmtId="0" fontId="3" fillId="7" borderId="265" xfId="0" applyFont="1" applyFill="1" applyBorder="1" applyAlignment="1">
      <alignment horizontal="center" vertical="center"/>
    </xf>
    <xf numFmtId="0" fontId="3" fillId="7" borderId="296" xfId="0" applyFont="1" applyFill="1" applyBorder="1" applyAlignment="1">
      <alignment horizontal="center" vertical="center"/>
    </xf>
    <xf numFmtId="3" fontId="2" fillId="0" borderId="32" xfId="0" applyNumberFormat="1" applyFont="1" applyBorder="1" applyAlignment="1">
      <alignment horizontal="center" vertical="center"/>
    </xf>
    <xf numFmtId="3" fontId="2" fillId="0" borderId="33" xfId="0" applyNumberFormat="1" applyFont="1" applyBorder="1" applyAlignment="1">
      <alignment horizontal="center" vertical="center"/>
    </xf>
    <xf numFmtId="3" fontId="2" fillId="0" borderId="129" xfId="2" applyNumberFormat="1" applyFont="1" applyFill="1" applyBorder="1" applyAlignment="1">
      <alignment horizontal="center" vertical="center"/>
    </xf>
    <xf numFmtId="3" fontId="2" fillId="0" borderId="12" xfId="2" applyNumberFormat="1" applyFont="1" applyFill="1" applyBorder="1" applyAlignment="1">
      <alignment horizontal="center" vertical="center"/>
    </xf>
    <xf numFmtId="3" fontId="2" fillId="0" borderId="52" xfId="2" applyNumberFormat="1" applyFont="1" applyFill="1" applyBorder="1" applyAlignment="1">
      <alignment horizontal="center" vertical="center"/>
    </xf>
    <xf numFmtId="3" fontId="25" fillId="0" borderId="8" xfId="1" applyNumberFormat="1" applyFont="1" applyBorder="1" applyAlignment="1">
      <alignment horizontal="center" vertical="center"/>
    </xf>
    <xf numFmtId="3" fontId="25" fillId="0" borderId="32" xfId="1" applyNumberFormat="1" applyFont="1" applyBorder="1" applyAlignment="1">
      <alignment horizontal="center" vertical="center"/>
    </xf>
    <xf numFmtId="3" fontId="25" fillId="0" borderId="33" xfId="1" applyNumberFormat="1" applyFont="1" applyBorder="1" applyAlignment="1">
      <alignment horizontal="center" vertical="center"/>
    </xf>
    <xf numFmtId="0" fontId="4" fillId="0" borderId="41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/>
    </xf>
    <xf numFmtId="0" fontId="4" fillId="0" borderId="34" xfId="1" applyFont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42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37" xfId="1" applyFont="1" applyBorder="1" applyAlignment="1">
      <alignment horizontal="center" vertical="center"/>
    </xf>
    <xf numFmtId="0" fontId="5" fillId="0" borderId="19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0" fontId="2" fillId="0" borderId="25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0" fontId="2" fillId="0" borderId="14" xfId="1" applyBorder="1" applyAlignment="1">
      <alignment horizontal="center" vertical="center"/>
    </xf>
    <xf numFmtId="0" fontId="2" fillId="0" borderId="15" xfId="1" applyBorder="1" applyAlignment="1">
      <alignment horizontal="center" vertical="center"/>
    </xf>
    <xf numFmtId="0" fontId="6" fillId="0" borderId="51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3" fillId="0" borderId="39" xfId="1" applyFont="1" applyBorder="1" applyAlignment="1">
      <alignment horizontal="center" vertical="center"/>
    </xf>
    <xf numFmtId="0" fontId="3" fillId="0" borderId="38" xfId="1" applyFont="1" applyBorder="1" applyAlignment="1">
      <alignment horizontal="center" vertical="center"/>
    </xf>
    <xf numFmtId="0" fontId="3" fillId="0" borderId="41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112" xfId="0" applyFont="1" applyBorder="1" applyAlignment="1">
      <alignment horizontal="center" vertical="center"/>
    </xf>
    <xf numFmtId="0" fontId="16" fillId="0" borderId="236" xfId="1" applyFont="1" applyBorder="1" applyAlignment="1">
      <alignment horizontal="center" vertical="center"/>
    </xf>
    <xf numFmtId="0" fontId="16" fillId="0" borderId="130" xfId="1" applyFont="1" applyBorder="1" applyAlignment="1">
      <alignment horizontal="center" vertical="center"/>
    </xf>
    <xf numFmtId="0" fontId="14" fillId="6" borderId="108" xfId="1" applyFont="1" applyFill="1" applyBorder="1" applyAlignment="1">
      <alignment horizontal="center" vertical="center"/>
    </xf>
    <xf numFmtId="0" fontId="14" fillId="6" borderId="115" xfId="1" applyFont="1" applyFill="1" applyBorder="1" applyAlignment="1">
      <alignment horizontal="center" vertical="center"/>
    </xf>
    <xf numFmtId="0" fontId="4" fillId="5" borderId="129" xfId="1" applyFont="1" applyFill="1" applyBorder="1" applyAlignment="1">
      <alignment horizontal="center" vertical="center"/>
    </xf>
    <xf numFmtId="0" fontId="4" fillId="5" borderId="12" xfId="1" applyFont="1" applyFill="1" applyBorder="1" applyAlignment="1">
      <alignment horizontal="center" vertical="center"/>
    </xf>
    <xf numFmtId="0" fontId="4" fillId="5" borderId="52" xfId="1" applyFont="1" applyFill="1" applyBorder="1" applyAlignment="1">
      <alignment horizontal="center" vertical="center"/>
    </xf>
    <xf numFmtId="0" fontId="4" fillId="5" borderId="112" xfId="1" applyFont="1" applyFill="1" applyBorder="1" applyAlignment="1">
      <alignment horizontal="center" vertical="center"/>
    </xf>
    <xf numFmtId="0" fontId="4" fillId="5" borderId="108" xfId="1" applyFont="1" applyFill="1" applyBorder="1" applyAlignment="1">
      <alignment horizontal="center" vertical="center"/>
    </xf>
    <xf numFmtId="0" fontId="4" fillId="5" borderId="115" xfId="1" applyFont="1" applyFill="1" applyBorder="1" applyAlignment="1">
      <alignment horizontal="center" vertical="center"/>
    </xf>
    <xf numFmtId="0" fontId="3" fillId="6" borderId="91" xfId="1" applyFont="1" applyFill="1" applyBorder="1" applyAlignment="1">
      <alignment horizontal="center" vertical="center" wrapText="1"/>
    </xf>
    <xf numFmtId="0" fontId="3" fillId="6" borderId="248" xfId="1" applyFont="1" applyFill="1" applyBorder="1" applyAlignment="1">
      <alignment horizontal="center" vertical="center" wrapText="1"/>
    </xf>
    <xf numFmtId="0" fontId="3" fillId="6" borderId="25" xfId="1" applyFont="1" applyFill="1" applyBorder="1" applyAlignment="1">
      <alignment horizontal="center" vertical="center" wrapText="1"/>
    </xf>
    <xf numFmtId="0" fontId="3" fillId="6" borderId="115" xfId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112" xfId="0" applyFont="1" applyBorder="1" applyAlignment="1">
      <alignment horizontal="center" vertical="center" wrapText="1"/>
    </xf>
    <xf numFmtId="0" fontId="5" fillId="0" borderId="120" xfId="0" applyFont="1" applyBorder="1" applyAlignment="1">
      <alignment horizontal="center" vertical="center" wrapText="1"/>
    </xf>
    <xf numFmtId="0" fontId="3" fillId="6" borderId="25" xfId="1" applyFont="1" applyFill="1" applyBorder="1" applyAlignment="1">
      <alignment horizontal="center" vertical="center"/>
    </xf>
    <xf numFmtId="0" fontId="3" fillId="6" borderId="115" xfId="1" applyFont="1" applyFill="1" applyBorder="1" applyAlignment="1">
      <alignment horizontal="center" vertical="center"/>
    </xf>
    <xf numFmtId="0" fontId="3" fillId="6" borderId="16" xfId="1" applyFont="1" applyFill="1" applyBorder="1" applyAlignment="1">
      <alignment horizontal="center" vertical="center"/>
    </xf>
    <xf numFmtId="0" fontId="3" fillId="6" borderId="108" xfId="1" applyFont="1" applyFill="1" applyBorder="1" applyAlignment="1">
      <alignment horizontal="center" vertical="center"/>
    </xf>
    <xf numFmtId="0" fontId="3" fillId="6" borderId="105" xfId="1" applyFont="1" applyFill="1" applyBorder="1" applyAlignment="1">
      <alignment horizontal="center" vertical="center"/>
    </xf>
    <xf numFmtId="0" fontId="3" fillId="6" borderId="109" xfId="1" applyFont="1" applyFill="1" applyBorder="1" applyAlignment="1">
      <alignment horizontal="center" vertical="center"/>
    </xf>
    <xf numFmtId="0" fontId="3" fillId="6" borderId="24" xfId="1" applyFont="1" applyFill="1" applyBorder="1" applyAlignment="1">
      <alignment horizontal="center" vertical="center"/>
    </xf>
    <xf numFmtId="0" fontId="3" fillId="6" borderId="44" xfId="1" applyFont="1" applyFill="1" applyBorder="1" applyAlignment="1">
      <alignment horizontal="center" vertical="center"/>
    </xf>
    <xf numFmtId="0" fontId="3" fillId="6" borderId="112" xfId="1" applyFont="1" applyFill="1" applyBorder="1" applyAlignment="1">
      <alignment horizontal="center" vertical="center"/>
    </xf>
    <xf numFmtId="0" fontId="3" fillId="6" borderId="120" xfId="1" applyFont="1" applyFill="1" applyBorder="1" applyAlignment="1">
      <alignment horizontal="center" vertical="center"/>
    </xf>
    <xf numFmtId="0" fontId="14" fillId="6" borderId="238" xfId="1" applyFont="1" applyFill="1" applyBorder="1" applyAlignment="1">
      <alignment horizontal="center" vertical="center"/>
    </xf>
    <xf numFmtId="0" fontId="14" fillId="6" borderId="237" xfId="1" applyFont="1" applyFill="1" applyBorder="1" applyAlignment="1">
      <alignment horizontal="center" vertical="center"/>
    </xf>
    <xf numFmtId="0" fontId="5" fillId="0" borderId="170" xfId="0" applyFont="1" applyBorder="1" applyAlignment="1">
      <alignment horizontal="center"/>
    </xf>
    <xf numFmtId="0" fontId="1" fillId="0" borderId="170" xfId="0" applyFont="1" applyBorder="1" applyAlignment="1">
      <alignment horizontal="center"/>
    </xf>
    <xf numFmtId="0" fontId="16" fillId="0" borderId="179" xfId="0" applyFont="1" applyBorder="1" applyAlignment="1">
      <alignment horizontal="center" vertical="center"/>
    </xf>
    <xf numFmtId="0" fontId="16" fillId="0" borderId="171" xfId="0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0" fillId="0" borderId="169" xfId="0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3" fontId="0" fillId="0" borderId="44" xfId="0" applyNumberFormat="1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43" fontId="0" fillId="0" borderId="169" xfId="2" applyFont="1" applyBorder="1" applyAlignment="1">
      <alignment horizontal="center" vertical="center" wrapText="1"/>
    </xf>
    <xf numFmtId="43" fontId="0" fillId="0" borderId="39" xfId="2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43" fontId="0" fillId="0" borderId="169" xfId="0" applyNumberForma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43" xfId="0" applyBorder="1" applyAlignment="1">
      <alignment horizontal="center" wrapText="1"/>
    </xf>
    <xf numFmtId="0" fontId="0" fillId="0" borderId="108" xfId="0" applyBorder="1" applyAlignment="1">
      <alignment horizontal="center" wrapText="1"/>
    </xf>
    <xf numFmtId="0" fontId="0" fillId="0" borderId="120" xfId="0" applyBorder="1" applyAlignment="1">
      <alignment horizontal="center" wrapText="1"/>
    </xf>
    <xf numFmtId="3" fontId="0" fillId="0" borderId="169" xfId="0" applyNumberFormat="1" applyBorder="1" applyAlignment="1">
      <alignment horizontal="center" vertical="center"/>
    </xf>
    <xf numFmtId="3" fontId="0" fillId="0" borderId="168" xfId="0" applyNumberFormat="1" applyBorder="1" applyAlignment="1">
      <alignment horizontal="center" vertical="center"/>
    </xf>
    <xf numFmtId="0" fontId="0" fillId="0" borderId="179" xfId="0" applyBorder="1" applyAlignment="1">
      <alignment horizontal="center"/>
    </xf>
    <xf numFmtId="0" fontId="0" fillId="0" borderId="171" xfId="0" applyBorder="1" applyAlignment="1">
      <alignment horizontal="center"/>
    </xf>
    <xf numFmtId="0" fontId="0" fillId="0" borderId="172" xfId="0" applyBorder="1" applyAlignment="1">
      <alignment horizontal="center"/>
    </xf>
    <xf numFmtId="0" fontId="23" fillId="2" borderId="41" xfId="0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23" fillId="2" borderId="52" xfId="0" applyFont="1" applyFill="1" applyBorder="1" applyAlignment="1">
      <alignment horizontal="center" vertical="center"/>
    </xf>
    <xf numFmtId="0" fontId="23" fillId="2" borderId="111" xfId="0" applyFont="1" applyFill="1" applyBorder="1" applyAlignment="1">
      <alignment horizontal="center" vertical="center"/>
    </xf>
    <xf numFmtId="0" fontId="23" fillId="2" borderId="108" xfId="0" applyFont="1" applyFill="1" applyBorder="1" applyAlignment="1">
      <alignment horizontal="center" vertical="center"/>
    </xf>
    <xf numFmtId="0" fontId="23" fillId="2" borderId="115" xfId="0" applyFont="1" applyFill="1" applyBorder="1" applyAlignment="1">
      <alignment horizontal="center" vertical="center"/>
    </xf>
    <xf numFmtId="0" fontId="13" fillId="4" borderId="238" xfId="0" applyFont="1" applyFill="1" applyBorder="1" applyAlignment="1">
      <alignment horizontal="center" vertical="center"/>
    </xf>
    <xf numFmtId="0" fontId="13" fillId="4" borderId="130" xfId="0" applyFont="1" applyFill="1" applyBorder="1" applyAlignment="1">
      <alignment horizontal="center" vertical="center"/>
    </xf>
    <xf numFmtId="0" fontId="13" fillId="4" borderId="237" xfId="0" applyFont="1" applyFill="1" applyBorder="1" applyAlignment="1">
      <alignment horizontal="center" vertical="center"/>
    </xf>
    <xf numFmtId="0" fontId="37" fillId="0" borderId="77" xfId="0" applyFont="1" applyBorder="1" applyAlignment="1">
      <alignment horizontal="center" vertical="center"/>
    </xf>
    <xf numFmtId="0" fontId="36" fillId="0" borderId="78" xfId="0" applyFont="1" applyBorder="1" applyAlignment="1">
      <alignment horizontal="center" vertical="center"/>
    </xf>
    <xf numFmtId="0" fontId="36" fillId="0" borderId="233" xfId="0" applyFont="1" applyBorder="1" applyAlignment="1">
      <alignment horizontal="center" vertical="center"/>
    </xf>
    <xf numFmtId="0" fontId="23" fillId="10" borderId="12" xfId="0" applyFont="1" applyFill="1" applyBorder="1" applyAlignment="1">
      <alignment horizontal="center" vertical="center"/>
    </xf>
    <xf numFmtId="0" fontId="23" fillId="10" borderId="52" xfId="0" applyFont="1" applyFill="1" applyBorder="1" applyAlignment="1">
      <alignment horizontal="center" vertical="center"/>
    </xf>
    <xf numFmtId="0" fontId="23" fillId="10" borderId="108" xfId="0" applyFont="1" applyFill="1" applyBorder="1" applyAlignment="1">
      <alignment horizontal="center" vertical="center"/>
    </xf>
    <xf numFmtId="0" fontId="23" fillId="10" borderId="115" xfId="0" applyFont="1" applyFill="1" applyBorder="1" applyAlignment="1">
      <alignment horizontal="center" vertical="center"/>
    </xf>
    <xf numFmtId="0" fontId="20" fillId="10" borderId="24" xfId="0" applyFont="1" applyFill="1" applyBorder="1" applyAlignment="1">
      <alignment horizontal="center" vertical="center"/>
    </xf>
    <xf numFmtId="0" fontId="20" fillId="10" borderId="16" xfId="0" applyFont="1" applyFill="1" applyBorder="1" applyAlignment="1">
      <alignment horizontal="center" vertical="center"/>
    </xf>
    <xf numFmtId="0" fontId="20" fillId="10" borderId="25" xfId="0" applyFont="1" applyFill="1" applyBorder="1" applyAlignment="1">
      <alignment horizontal="center" vertical="center"/>
    </xf>
    <xf numFmtId="0" fontId="20" fillId="10" borderId="112" xfId="0" applyFont="1" applyFill="1" applyBorder="1" applyAlignment="1">
      <alignment horizontal="center" vertical="center"/>
    </xf>
    <xf numFmtId="0" fontId="20" fillId="10" borderId="108" xfId="0" applyFont="1" applyFill="1" applyBorder="1" applyAlignment="1">
      <alignment horizontal="center" vertical="center"/>
    </xf>
    <xf numFmtId="0" fontId="20" fillId="10" borderId="115" xfId="0" applyFont="1" applyFill="1" applyBorder="1" applyAlignment="1">
      <alignment horizontal="center" vertical="center"/>
    </xf>
    <xf numFmtId="0" fontId="5" fillId="10" borderId="25" xfId="0" applyFont="1" applyFill="1" applyBorder="1" applyAlignment="1">
      <alignment horizontal="center" vertical="center"/>
    </xf>
    <xf numFmtId="0" fontId="5" fillId="10" borderId="37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/>
    </xf>
    <xf numFmtId="0" fontId="1" fillId="21" borderId="224" xfId="3" applyFill="1" applyBorder="1" applyAlignment="1">
      <alignment horizontal="center" vertical="center" textRotation="90"/>
    </xf>
    <xf numFmtId="0" fontId="1" fillId="21" borderId="71" xfId="3" applyFill="1" applyBorder="1" applyAlignment="1">
      <alignment horizontal="center" vertical="center" textRotation="90"/>
    </xf>
    <xf numFmtId="0" fontId="1" fillId="21" borderId="46" xfId="3" applyFill="1" applyBorder="1" applyAlignment="1">
      <alignment horizontal="center" vertical="center" textRotation="90"/>
    </xf>
    <xf numFmtId="0" fontId="4" fillId="0" borderId="0" xfId="3" applyFont="1" applyAlignment="1">
      <alignment horizontal="center" vertical="center"/>
    </xf>
    <xf numFmtId="0" fontId="35" fillId="0" borderId="0" xfId="3" applyFont="1" applyAlignment="1">
      <alignment horizontal="center" vertical="center"/>
    </xf>
    <xf numFmtId="0" fontId="3" fillId="19" borderId="7" xfId="3" applyFont="1" applyFill="1" applyBorder="1" applyAlignment="1">
      <alignment horizontal="center" vertical="center"/>
    </xf>
    <xf numFmtId="0" fontId="3" fillId="19" borderId="276" xfId="3" applyFont="1" applyFill="1" applyBorder="1" applyAlignment="1">
      <alignment horizontal="center" vertical="center"/>
    </xf>
    <xf numFmtId="0" fontId="1" fillId="20" borderId="28" xfId="3" applyFill="1" applyBorder="1" applyAlignment="1">
      <alignment horizontal="center" vertical="center" textRotation="90" wrapText="1"/>
    </xf>
    <xf numFmtId="0" fontId="1" fillId="20" borderId="71" xfId="3" applyFill="1" applyBorder="1" applyAlignment="1">
      <alignment horizontal="center" vertical="center" textRotation="90" wrapText="1"/>
    </xf>
    <xf numFmtId="0" fontId="1" fillId="20" borderId="46" xfId="3" applyFill="1" applyBorder="1" applyAlignment="1">
      <alignment horizontal="center" vertical="center" textRotation="90" wrapText="1"/>
    </xf>
    <xf numFmtId="0" fontId="1" fillId="19" borderId="224" xfId="3" applyFill="1" applyBorder="1" applyAlignment="1">
      <alignment horizontal="center" vertical="center" textRotation="90"/>
    </xf>
    <xf numFmtId="0" fontId="1" fillId="19" borderId="71" xfId="3" applyFill="1" applyBorder="1" applyAlignment="1">
      <alignment horizontal="center" vertical="center" textRotation="90"/>
    </xf>
    <xf numFmtId="0" fontId="1" fillId="19" borderId="46" xfId="3" applyFill="1" applyBorder="1" applyAlignment="1">
      <alignment horizontal="center" vertical="center" textRotation="90"/>
    </xf>
    <xf numFmtId="0" fontId="1" fillId="27" borderId="223" xfId="3" applyFill="1" applyBorder="1" applyAlignment="1">
      <alignment horizontal="center" vertical="center" textRotation="90"/>
    </xf>
    <xf numFmtId="0" fontId="1" fillId="27" borderId="95" xfId="3" applyFill="1" applyBorder="1" applyAlignment="1">
      <alignment horizontal="center" vertical="center" textRotation="90"/>
    </xf>
    <xf numFmtId="0" fontId="1" fillId="27" borderId="48" xfId="3" applyFill="1" applyBorder="1" applyAlignment="1">
      <alignment horizontal="center" vertical="center" textRotation="90"/>
    </xf>
    <xf numFmtId="0" fontId="1" fillId="9" borderId="223" xfId="3" applyFill="1" applyBorder="1" applyAlignment="1">
      <alignment horizontal="center" vertical="center" textRotation="90"/>
    </xf>
    <xf numFmtId="0" fontId="1" fillId="9" borderId="95" xfId="3" applyFill="1" applyBorder="1" applyAlignment="1">
      <alignment horizontal="center" vertical="center" textRotation="90"/>
    </xf>
    <xf numFmtId="0" fontId="1" fillId="8" borderId="224" xfId="3" applyFill="1" applyBorder="1" applyAlignment="1">
      <alignment horizontal="center" vertical="center" textRotation="90"/>
    </xf>
    <xf numFmtId="0" fontId="1" fillId="8" borderId="71" xfId="3" applyFill="1" applyBorder="1" applyAlignment="1">
      <alignment horizontal="center" vertical="center" textRotation="90"/>
    </xf>
    <xf numFmtId="0" fontId="1" fillId="8" borderId="46" xfId="3" applyFill="1" applyBorder="1" applyAlignment="1">
      <alignment horizontal="center" vertical="center" textRotation="90"/>
    </xf>
    <xf numFmtId="0" fontId="1" fillId="22" borderId="224" xfId="3" applyFill="1" applyBorder="1" applyAlignment="1">
      <alignment horizontal="center" vertical="center" textRotation="90"/>
    </xf>
    <xf numFmtId="0" fontId="1" fillId="22" borderId="71" xfId="3" applyFill="1" applyBorder="1" applyAlignment="1">
      <alignment horizontal="center" vertical="center" textRotation="90"/>
    </xf>
    <xf numFmtId="0" fontId="1" fillId="22" borderId="46" xfId="3" applyFill="1" applyBorder="1" applyAlignment="1">
      <alignment horizontal="center" vertical="center" textRotation="90"/>
    </xf>
    <xf numFmtId="0" fontId="1" fillId="23" borderId="224" xfId="3" applyFill="1" applyBorder="1" applyAlignment="1">
      <alignment horizontal="center" vertical="center" textRotation="90"/>
    </xf>
    <xf numFmtId="0" fontId="1" fillId="23" borderId="71" xfId="3" applyFill="1" applyBorder="1" applyAlignment="1">
      <alignment horizontal="center" vertical="center" textRotation="90"/>
    </xf>
    <xf numFmtId="0" fontId="1" fillId="23" borderId="46" xfId="3" applyFill="1" applyBorder="1" applyAlignment="1">
      <alignment horizontal="center" vertical="center" textRotation="90"/>
    </xf>
    <xf numFmtId="0" fontId="1" fillId="24" borderId="223" xfId="3" applyFill="1" applyBorder="1" applyAlignment="1">
      <alignment horizontal="center" vertical="center" textRotation="90"/>
    </xf>
    <xf numFmtId="0" fontId="1" fillId="24" borderId="95" xfId="3" applyFill="1" applyBorder="1" applyAlignment="1">
      <alignment horizontal="center" vertical="center" textRotation="90"/>
    </xf>
    <xf numFmtId="0" fontId="1" fillId="24" borderId="48" xfId="3" applyFill="1" applyBorder="1" applyAlignment="1">
      <alignment horizontal="center" vertical="center" textRotation="90"/>
    </xf>
    <xf numFmtId="0" fontId="1" fillId="25" borderId="223" xfId="3" applyFill="1" applyBorder="1" applyAlignment="1">
      <alignment horizontal="center" vertical="center" textRotation="90"/>
    </xf>
    <xf numFmtId="0" fontId="1" fillId="25" borderId="95" xfId="3" applyFill="1" applyBorder="1" applyAlignment="1">
      <alignment horizontal="center" vertical="center" textRotation="90"/>
    </xf>
    <xf numFmtId="0" fontId="1" fillId="26" borderId="223" xfId="3" applyFill="1" applyBorder="1" applyAlignment="1">
      <alignment horizontal="center" vertical="center" textRotation="90"/>
    </xf>
    <xf numFmtId="0" fontId="1" fillId="26" borderId="95" xfId="3" applyFill="1" applyBorder="1" applyAlignment="1">
      <alignment horizontal="center" vertical="center" textRotation="90"/>
    </xf>
    <xf numFmtId="0" fontId="1" fillId="26" borderId="48" xfId="3" applyFill="1" applyBorder="1" applyAlignment="1">
      <alignment horizontal="center" vertical="center" textRotation="90"/>
    </xf>
    <xf numFmtId="0" fontId="15" fillId="0" borderId="242" xfId="0" applyFont="1" applyBorder="1" applyAlignment="1">
      <alignment horizontal="center"/>
    </xf>
    <xf numFmtId="0" fontId="15" fillId="0" borderId="135" xfId="0" applyFont="1" applyBorder="1" applyAlignment="1">
      <alignment horizontal="center"/>
    </xf>
    <xf numFmtId="0" fontId="1" fillId="0" borderId="314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315" xfId="0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6" fillId="33" borderId="39" xfId="0" applyFont="1" applyFill="1" applyBorder="1" applyAlignment="1">
      <alignment horizontal="center" vertical="center"/>
    </xf>
    <xf numFmtId="0" fontId="6" fillId="33" borderId="65" xfId="0" applyFont="1" applyFill="1" applyBorder="1" applyAlignment="1">
      <alignment horizontal="center" vertical="center"/>
    </xf>
    <xf numFmtId="0" fontId="3" fillId="33" borderId="129" xfId="0" applyFont="1" applyFill="1" applyBorder="1" applyAlignment="1">
      <alignment horizontal="center" vertical="center"/>
    </xf>
    <xf numFmtId="0" fontId="3" fillId="33" borderId="12" xfId="0" applyFont="1" applyFill="1" applyBorder="1" applyAlignment="1">
      <alignment horizontal="center" vertical="center"/>
    </xf>
    <xf numFmtId="0" fontId="3" fillId="33" borderId="52" xfId="0" applyFont="1" applyFill="1" applyBorder="1" applyAlignment="1">
      <alignment horizontal="center" vertical="center"/>
    </xf>
    <xf numFmtId="0" fontId="3" fillId="33" borderId="13" xfId="0" applyFont="1" applyFill="1" applyBorder="1" applyAlignment="1">
      <alignment horizontal="center" vertical="center"/>
    </xf>
    <xf numFmtId="0" fontId="3" fillId="33" borderId="14" xfId="0" applyFont="1" applyFill="1" applyBorder="1" applyAlignment="1">
      <alignment horizontal="center" vertical="center"/>
    </xf>
    <xf numFmtId="0" fontId="3" fillId="33" borderId="15" xfId="0" applyFont="1" applyFill="1" applyBorder="1" applyAlignment="1">
      <alignment horizontal="center" vertical="center"/>
    </xf>
    <xf numFmtId="0" fontId="1" fillId="23" borderId="52" xfId="0" applyFont="1" applyFill="1" applyBorder="1" applyAlignment="1">
      <alignment horizontal="center" vertical="center"/>
    </xf>
    <xf numFmtId="0" fontId="1" fillId="23" borderId="37" xfId="0" applyFont="1" applyFill="1" applyBorder="1" applyAlignment="1">
      <alignment horizontal="center" vertical="center"/>
    </xf>
    <xf numFmtId="0" fontId="1" fillId="23" borderId="15" xfId="0" applyFont="1" applyFill="1" applyBorder="1" applyAlignment="1">
      <alignment horizontal="center" vertical="center"/>
    </xf>
    <xf numFmtId="0" fontId="1" fillId="33" borderId="77" xfId="0" applyFont="1" applyFill="1" applyBorder="1" applyAlignment="1">
      <alignment horizontal="center" vertical="center"/>
    </xf>
    <xf numFmtId="0" fontId="1" fillId="33" borderId="79" xfId="0" applyFont="1" applyFill="1" applyBorder="1" applyAlignment="1">
      <alignment horizontal="center" vertical="center"/>
    </xf>
    <xf numFmtId="0" fontId="1" fillId="33" borderId="53" xfId="0" applyFont="1" applyFill="1" applyBorder="1" applyAlignment="1">
      <alignment horizontal="center" vertical="center"/>
    </xf>
    <xf numFmtId="0" fontId="1" fillId="33" borderId="63" xfId="0" applyFont="1" applyFill="1" applyBorder="1" applyAlignment="1">
      <alignment horizontal="center" vertical="center"/>
    </xf>
    <xf numFmtId="0" fontId="9" fillId="0" borderId="224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164" fontId="9" fillId="32" borderId="224" xfId="0" applyNumberFormat="1" applyFont="1" applyFill="1" applyBorder="1" applyAlignment="1">
      <alignment horizontal="center" vertical="center"/>
    </xf>
    <xf numFmtId="164" fontId="9" fillId="32" borderId="46" xfId="0" applyNumberFormat="1" applyFont="1" applyFill="1" applyBorder="1" applyAlignment="1">
      <alignment horizontal="center" vertical="center"/>
    </xf>
    <xf numFmtId="0" fontId="9" fillId="0" borderId="256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142" xfId="0" applyFont="1" applyBorder="1" applyAlignment="1">
      <alignment horizontal="center" vertical="center"/>
    </xf>
    <xf numFmtId="0" fontId="9" fillId="0" borderId="114" xfId="0" applyFont="1" applyBorder="1" applyAlignment="1">
      <alignment horizontal="center" vertical="center"/>
    </xf>
    <xf numFmtId="0" fontId="9" fillId="0" borderId="115" xfId="0" applyFont="1" applyBorder="1" applyAlignment="1">
      <alignment horizontal="center" vertical="center"/>
    </xf>
    <xf numFmtId="164" fontId="9" fillId="0" borderId="114" xfId="0" applyNumberFormat="1" applyFont="1" applyBorder="1" applyAlignment="1">
      <alignment horizontal="center" vertical="center"/>
    </xf>
    <xf numFmtId="0" fontId="9" fillId="0" borderId="231" xfId="0" applyFont="1" applyBorder="1" applyAlignment="1">
      <alignment horizontal="center" vertical="center"/>
    </xf>
    <xf numFmtId="0" fontId="9" fillId="0" borderId="164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1" fillId="23" borderId="203" xfId="0" applyFont="1" applyFill="1" applyBorder="1" applyAlignment="1">
      <alignment horizontal="center" vertical="center" wrapText="1"/>
    </xf>
    <xf numFmtId="0" fontId="1" fillId="23" borderId="173" xfId="0" applyFont="1" applyFill="1" applyBorder="1" applyAlignment="1">
      <alignment horizontal="center" vertical="center" wrapText="1"/>
    </xf>
    <xf numFmtId="0" fontId="1" fillId="23" borderId="138" xfId="0" applyFont="1" applyFill="1" applyBorder="1" applyAlignment="1">
      <alignment horizontal="center" vertical="center" wrapText="1"/>
    </xf>
    <xf numFmtId="0" fontId="9" fillId="0" borderId="114" xfId="0" applyFont="1" applyBorder="1" applyAlignment="1">
      <alignment horizontal="center"/>
    </xf>
    <xf numFmtId="0" fontId="1" fillId="23" borderId="173" xfId="0" applyFont="1" applyFill="1" applyBorder="1" applyAlignment="1">
      <alignment horizontal="center" vertical="center"/>
    </xf>
    <xf numFmtId="0" fontId="1" fillId="23" borderId="204" xfId="0" applyFont="1" applyFill="1" applyBorder="1" applyAlignment="1">
      <alignment horizontal="center" vertical="center"/>
    </xf>
    <xf numFmtId="0" fontId="1" fillId="23" borderId="204" xfId="0" applyFont="1" applyFill="1" applyBorder="1" applyAlignment="1">
      <alignment horizontal="center" vertical="center" wrapText="1"/>
    </xf>
    <xf numFmtId="0" fontId="9" fillId="33" borderId="224" xfId="0" applyFont="1" applyFill="1" applyBorder="1" applyAlignment="1">
      <alignment horizontal="center" vertical="center"/>
    </xf>
    <xf numFmtId="0" fontId="9" fillId="33" borderId="71" xfId="0" applyFont="1" applyFill="1" applyBorder="1" applyAlignment="1">
      <alignment horizontal="center" vertical="center"/>
    </xf>
    <xf numFmtId="0" fontId="9" fillId="33" borderId="46" xfId="0" applyFont="1" applyFill="1" applyBorder="1" applyAlignment="1">
      <alignment horizontal="center" vertical="center"/>
    </xf>
    <xf numFmtId="164" fontId="9" fillId="4" borderId="224" xfId="0" applyNumberFormat="1" applyFont="1" applyFill="1" applyBorder="1" applyAlignment="1">
      <alignment horizontal="center" vertical="center"/>
    </xf>
    <xf numFmtId="164" fontId="9" fillId="4" borderId="71" xfId="0" applyNumberFormat="1" applyFont="1" applyFill="1" applyBorder="1" applyAlignment="1">
      <alignment horizontal="center" vertical="center"/>
    </xf>
    <xf numFmtId="164" fontId="9" fillId="4" borderId="46" xfId="0" applyNumberFormat="1" applyFont="1" applyFill="1" applyBorder="1" applyAlignment="1">
      <alignment horizontal="center" vertical="center"/>
    </xf>
    <xf numFmtId="0" fontId="1" fillId="23" borderId="203" xfId="0" applyFont="1" applyFill="1" applyBorder="1" applyAlignment="1">
      <alignment horizontal="center" vertical="center"/>
    </xf>
    <xf numFmtId="164" fontId="9" fillId="30" borderId="224" xfId="0" applyNumberFormat="1" applyFont="1" applyFill="1" applyBorder="1" applyAlignment="1">
      <alignment horizontal="center" vertical="center"/>
    </xf>
    <xf numFmtId="164" fontId="9" fillId="30" borderId="46" xfId="0" applyNumberFormat="1" applyFont="1" applyFill="1" applyBorder="1" applyAlignment="1">
      <alignment horizontal="center" vertical="center"/>
    </xf>
    <xf numFmtId="0" fontId="9" fillId="0" borderId="71" xfId="0" applyFont="1" applyBorder="1" applyAlignment="1">
      <alignment horizontal="center"/>
    </xf>
    <xf numFmtId="164" fontId="9" fillId="33" borderId="224" xfId="0" applyNumberFormat="1" applyFont="1" applyFill="1" applyBorder="1" applyAlignment="1">
      <alignment horizontal="center" vertical="center"/>
    </xf>
    <xf numFmtId="164" fontId="9" fillId="33" borderId="71" xfId="0" applyNumberFormat="1" applyFont="1" applyFill="1" applyBorder="1" applyAlignment="1">
      <alignment horizontal="center" vertical="center"/>
    </xf>
    <xf numFmtId="164" fontId="9" fillId="33" borderId="46" xfId="0" applyNumberFormat="1" applyFont="1" applyFill="1" applyBorder="1" applyAlignment="1">
      <alignment horizontal="center" vertical="center"/>
    </xf>
    <xf numFmtId="164" fontId="9" fillId="35" borderId="224" xfId="0" applyNumberFormat="1" applyFont="1" applyFill="1" applyBorder="1" applyAlignment="1">
      <alignment horizontal="center" vertical="center"/>
    </xf>
    <xf numFmtId="164" fontId="9" fillId="35" borderId="46" xfId="0" applyNumberFormat="1" applyFont="1" applyFill="1" applyBorder="1" applyAlignment="1">
      <alignment horizontal="center" vertical="center"/>
    </xf>
    <xf numFmtId="164" fontId="9" fillId="35" borderId="71" xfId="0" applyNumberFormat="1" applyFont="1" applyFill="1" applyBorder="1" applyAlignment="1">
      <alignment horizontal="center" vertical="center"/>
    </xf>
    <xf numFmtId="0" fontId="9" fillId="30" borderId="224" xfId="0" applyFont="1" applyFill="1" applyBorder="1" applyAlignment="1">
      <alignment horizontal="center" vertical="center"/>
    </xf>
    <xf numFmtId="0" fontId="9" fillId="30" borderId="71" xfId="0" applyFont="1" applyFill="1" applyBorder="1" applyAlignment="1">
      <alignment horizontal="center" vertical="center"/>
    </xf>
    <xf numFmtId="0" fontId="9" fillId="30" borderId="46" xfId="0" applyFont="1" applyFill="1" applyBorder="1" applyAlignment="1">
      <alignment horizontal="center" vertical="center"/>
    </xf>
    <xf numFmtId="0" fontId="4" fillId="33" borderId="12" xfId="4" applyFont="1" applyFill="1" applyBorder="1" applyAlignment="1">
      <alignment horizontal="center" vertical="center"/>
    </xf>
    <xf numFmtId="0" fontId="4" fillId="33" borderId="52" xfId="4" applyFont="1" applyFill="1" applyBorder="1" applyAlignment="1">
      <alignment horizontal="center" vertical="center"/>
    </xf>
    <xf numFmtId="0" fontId="4" fillId="33" borderId="14" xfId="4" applyFont="1" applyFill="1" applyBorder="1" applyAlignment="1">
      <alignment horizontal="center" vertical="center"/>
    </xf>
    <xf numFmtId="0" fontId="4" fillId="33" borderId="15" xfId="4" applyFont="1" applyFill="1" applyBorder="1" applyAlignment="1">
      <alignment horizontal="center" vertical="center"/>
    </xf>
    <xf numFmtId="0" fontId="3" fillId="34" borderId="192" xfId="0" applyFont="1" applyFill="1" applyBorder="1" applyAlignment="1">
      <alignment horizontal="center" vertical="center"/>
    </xf>
    <xf numFmtId="0" fontId="3" fillId="34" borderId="193" xfId="0" applyFont="1" applyFill="1" applyBorder="1" applyAlignment="1">
      <alignment horizontal="center" vertical="center"/>
    </xf>
    <xf numFmtId="0" fontId="3" fillId="34" borderId="51" xfId="4" applyFont="1" applyFill="1" applyBorder="1" applyAlignment="1">
      <alignment horizontal="center" vertical="center"/>
    </xf>
    <xf numFmtId="0" fontId="3" fillId="34" borderId="54" xfId="4" applyFont="1" applyFill="1" applyBorder="1" applyAlignment="1">
      <alignment horizontal="center" vertical="center"/>
    </xf>
    <xf numFmtId="0" fontId="3" fillId="34" borderId="66" xfId="4" applyFont="1" applyFill="1" applyBorder="1" applyAlignment="1">
      <alignment horizontal="center" vertical="center"/>
    </xf>
    <xf numFmtId="0" fontId="3" fillId="34" borderId="38" xfId="4" applyFont="1" applyFill="1" applyBorder="1" applyAlignment="1">
      <alignment horizontal="center" vertical="center"/>
    </xf>
    <xf numFmtId="0" fontId="3" fillId="34" borderId="41" xfId="4" applyFont="1" applyFill="1" applyBorder="1" applyAlignment="1">
      <alignment horizontal="center" vertical="center"/>
    </xf>
    <xf numFmtId="0" fontId="3" fillId="34" borderId="12" xfId="4" applyFont="1" applyFill="1" applyBorder="1" applyAlignment="1">
      <alignment horizontal="center" vertical="center"/>
    </xf>
    <xf numFmtId="0" fontId="3" fillId="34" borderId="42" xfId="4" applyFont="1" applyFill="1" applyBorder="1" applyAlignment="1">
      <alignment horizontal="center" vertical="center"/>
    </xf>
    <xf numFmtId="0" fontId="3" fillId="34" borderId="52" xfId="4" applyFont="1" applyFill="1" applyBorder="1" applyAlignment="1">
      <alignment horizontal="center" vertical="center"/>
    </xf>
    <xf numFmtId="0" fontId="43" fillId="33" borderId="32" xfId="4" applyFont="1" applyFill="1" applyBorder="1" applyAlignment="1">
      <alignment horizontal="center" vertical="center"/>
    </xf>
    <xf numFmtId="0" fontId="43" fillId="33" borderId="33" xfId="4" applyFont="1" applyFill="1" applyBorder="1" applyAlignment="1">
      <alignment horizontal="center" vertical="center"/>
    </xf>
    <xf numFmtId="0" fontId="42" fillId="0" borderId="92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25" xfId="0" applyFont="1" applyBorder="1" applyAlignment="1">
      <alignment horizontal="center" vertical="center"/>
    </xf>
    <xf numFmtId="0" fontId="42" fillId="0" borderId="142" xfId="0" applyFont="1" applyBorder="1" applyAlignment="1">
      <alignment horizontal="center" vertical="center"/>
    </xf>
    <xf numFmtId="164" fontId="9" fillId="0" borderId="92" xfId="0" applyNumberFormat="1" applyFont="1" applyBorder="1" applyAlignment="1">
      <alignment horizontal="center" vertical="center"/>
    </xf>
    <xf numFmtId="0" fontId="1" fillId="23" borderId="201" xfId="0" applyFont="1" applyFill="1" applyBorder="1" applyAlignment="1">
      <alignment horizontal="center" vertical="center"/>
    </xf>
    <xf numFmtId="0" fontId="9" fillId="0" borderId="92" xfId="0" applyFont="1" applyBorder="1" applyAlignment="1">
      <alignment horizontal="center"/>
    </xf>
    <xf numFmtId="164" fontId="9" fillId="28" borderId="92" xfId="0" applyNumberFormat="1" applyFont="1" applyFill="1" applyBorder="1" applyAlignment="1">
      <alignment horizontal="center" vertical="center"/>
    </xf>
    <xf numFmtId="164" fontId="9" fillId="28" borderId="46" xfId="0" applyNumberFormat="1" applyFont="1" applyFill="1" applyBorder="1" applyAlignment="1">
      <alignment horizontal="center" vertical="center"/>
    </xf>
    <xf numFmtId="2" fontId="2" fillId="0" borderId="8" xfId="2" applyNumberFormat="1" applyFont="1" applyBorder="1" applyAlignment="1">
      <alignment horizontal="center" vertical="center"/>
    </xf>
    <xf numFmtId="2" fontId="2" fillId="0" borderId="32" xfId="2" applyNumberFormat="1" applyFont="1" applyBorder="1" applyAlignment="1">
      <alignment horizontal="center" vertical="center"/>
    </xf>
    <xf numFmtId="2" fontId="2" fillId="0" borderId="33" xfId="2" applyNumberFormat="1" applyFont="1" applyBorder="1" applyAlignment="1">
      <alignment horizontal="center" vertical="center"/>
    </xf>
    <xf numFmtId="0" fontId="2" fillId="2" borderId="8" xfId="1" applyFill="1" applyBorder="1" applyAlignment="1">
      <alignment horizontal="center" vertical="center"/>
    </xf>
    <xf numFmtId="0" fontId="2" fillId="2" borderId="32" xfId="1" applyFill="1" applyBorder="1" applyAlignment="1">
      <alignment horizontal="center" vertical="center"/>
    </xf>
    <xf numFmtId="0" fontId="2" fillId="2" borderId="33" xfId="1" applyFill="1" applyBorder="1" applyAlignment="1">
      <alignment horizontal="center" vertical="center"/>
    </xf>
    <xf numFmtId="0" fontId="2" fillId="0" borderId="12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4" fillId="2" borderId="41" xfId="1" applyFont="1" applyFill="1" applyBorder="1" applyAlignment="1">
      <alignment horizontal="center" vertical="center"/>
    </xf>
    <xf numFmtId="0" fontId="4" fillId="2" borderId="34" xfId="1" applyFont="1" applyFill="1" applyBorder="1" applyAlignment="1">
      <alignment horizontal="center" vertical="center"/>
    </xf>
    <xf numFmtId="0" fontId="3" fillId="4" borderId="39" xfId="1" applyFont="1" applyFill="1" applyBorder="1" applyAlignment="1">
      <alignment horizontal="center" vertical="center"/>
    </xf>
    <xf numFmtId="0" fontId="3" fillId="4" borderId="38" xfId="1" applyFont="1" applyFill="1" applyBorder="1" applyAlignment="1">
      <alignment horizontal="center" vertical="center"/>
    </xf>
    <xf numFmtId="0" fontId="3" fillId="4" borderId="1" xfId="1" applyFont="1" applyFill="1" applyBorder="1" applyAlignment="1">
      <alignment horizontal="center" vertical="center" wrapText="1"/>
    </xf>
    <xf numFmtId="0" fontId="3" fillId="4" borderId="3" xfId="1" applyFont="1" applyFill="1" applyBorder="1" applyAlignment="1">
      <alignment horizontal="center" vertical="center" wrapText="1"/>
    </xf>
    <xf numFmtId="0" fontId="5" fillId="4" borderId="40" xfId="1" applyFont="1" applyFill="1" applyBorder="1" applyAlignment="1">
      <alignment horizontal="center" vertical="center"/>
    </xf>
    <xf numFmtId="0" fontId="5" fillId="4" borderId="19" xfId="1" applyFont="1" applyFill="1" applyBorder="1" applyAlignment="1">
      <alignment horizontal="center" vertical="center"/>
    </xf>
    <xf numFmtId="0" fontId="3" fillId="4" borderId="42" xfId="1" applyFont="1" applyFill="1" applyBorder="1" applyAlignment="1">
      <alignment horizontal="center" vertical="center"/>
    </xf>
    <xf numFmtId="0" fontId="3" fillId="4" borderId="6" xfId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</cellXfs>
  <cellStyles count="5">
    <cellStyle name="Comma" xfId="2" builtinId="3"/>
    <cellStyle name="Normal" xfId="0" builtinId="0"/>
    <cellStyle name="Normal 2" xfId="1" xr:uid="{C25546E3-CB68-4CE6-8E11-CFC21BD03A88}"/>
    <cellStyle name="Normal 2 2" xfId="4" xr:uid="{354FBA32-8CF9-4B05-B97E-E0EE93F2D2C2}"/>
    <cellStyle name="Normal 3" xfId="3" xr:uid="{57879114-A9AA-494F-8B36-8ED6660B317B}"/>
  </cellStyles>
  <dxfs count="0"/>
  <tableStyles count="0" defaultTableStyle="TableStyleMedium2" defaultPivotStyle="PivotStyleLight16"/>
  <colors>
    <mruColors>
      <color rgb="FFCC99FF"/>
      <color rgb="FFFFCC99"/>
      <color rgb="FFC00000"/>
      <color rgb="FFBC8EDE"/>
      <color rgb="FFFF00FF"/>
      <color rgb="FFFFCCCC"/>
      <color rgb="FF9A57CD"/>
      <color rgb="FFFFE1E1"/>
      <color rgb="FFCC33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195584</xdr:colOff>
      <xdr:row>7</xdr:row>
      <xdr:rowOff>152400</xdr:rowOff>
    </xdr:from>
    <xdr:to>
      <xdr:col>8</xdr:col>
      <xdr:colOff>0</xdr:colOff>
      <xdr:row>10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3466F-9BE6-47B1-ABEC-60B19FDA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034" y="2076450"/>
          <a:ext cx="2890516" cy="590550"/>
        </a:xfrm>
        <a:prstGeom prst="rect">
          <a:avLst/>
        </a:prstGeom>
      </xdr:spPr>
    </xdr:pic>
    <xdr:clientData/>
  </xdr:twoCellAnchor>
  <xdr:oneCellAnchor>
    <xdr:from>
      <xdr:col>5</xdr:col>
      <xdr:colOff>186059</xdr:colOff>
      <xdr:row>20</xdr:row>
      <xdr:rowOff>161925</xdr:rowOff>
    </xdr:from>
    <xdr:ext cx="2890516" cy="590550"/>
    <xdr:pic>
      <xdr:nvPicPr>
        <xdr:cNvPr id="3" name="Picture 2">
          <a:extLst>
            <a:ext uri="{FF2B5EF4-FFF2-40B4-BE49-F238E27FC236}">
              <a16:creationId xmlns:a16="http://schemas.microsoft.com/office/drawing/2014/main" id="{7EEC3A3E-83B9-419F-94D0-8244A0F9C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509" y="6181725"/>
          <a:ext cx="2890516" cy="590550"/>
        </a:xfrm>
        <a:prstGeom prst="rect">
          <a:avLst/>
        </a:prstGeom>
      </xdr:spPr>
    </xdr:pic>
    <xdr:clientData/>
  </xdr:oneCellAnchor>
  <xdr:oneCellAnchor>
    <xdr:from>
      <xdr:col>5</xdr:col>
      <xdr:colOff>186059</xdr:colOff>
      <xdr:row>33</xdr:row>
      <xdr:rowOff>161925</xdr:rowOff>
    </xdr:from>
    <xdr:ext cx="2890516" cy="590550"/>
    <xdr:pic>
      <xdr:nvPicPr>
        <xdr:cNvPr id="4" name="Picture 3">
          <a:extLst>
            <a:ext uri="{FF2B5EF4-FFF2-40B4-BE49-F238E27FC236}">
              <a16:creationId xmlns:a16="http://schemas.microsoft.com/office/drawing/2014/main" id="{F2C45573-217B-472C-8843-7C8E6AF2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509" y="5143500"/>
          <a:ext cx="2890516" cy="5905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857250</xdr:colOff>
      <xdr:row>20</xdr:row>
      <xdr:rowOff>0</xdr:rowOff>
    </xdr:from>
    <xdr:ext cx="2890516" cy="590550"/>
    <xdr:pic>
      <xdr:nvPicPr>
        <xdr:cNvPr id="2" name="Picture 1">
          <a:extLst>
            <a:ext uri="{FF2B5EF4-FFF2-40B4-BE49-F238E27FC236}">
              <a16:creationId xmlns:a16="http://schemas.microsoft.com/office/drawing/2014/main" id="{FCABF3E6-ED49-4565-9F1D-E088651CB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3724275"/>
          <a:ext cx="2890516" cy="5905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565097</xdr:colOff>
      <xdr:row>21</xdr:row>
      <xdr:rowOff>24812</xdr:rowOff>
    </xdr:from>
    <xdr:to>
      <xdr:col>4</xdr:col>
      <xdr:colOff>2685794</xdr:colOff>
      <xdr:row>32</xdr:row>
      <xdr:rowOff>28701</xdr:rowOff>
    </xdr:to>
    <xdr:pic>
      <xdr:nvPicPr>
        <xdr:cNvPr id="2" name="Picture 1" descr="VELUX GGL 3570H Conservation Roof Window - The Skylight Company">
          <a:extLst>
            <a:ext uri="{FF2B5EF4-FFF2-40B4-BE49-F238E27FC236}">
              <a16:creationId xmlns:a16="http://schemas.microsoft.com/office/drawing/2014/main" id="{1905D19B-7892-440A-B28D-10522E396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497" y="4968287"/>
          <a:ext cx="2128317" cy="210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168089</xdr:colOff>
      <xdr:row>75</xdr:row>
      <xdr:rowOff>102454</xdr:rowOff>
    </xdr:from>
    <xdr:to>
      <xdr:col>4</xdr:col>
      <xdr:colOff>2764267</xdr:colOff>
      <xdr:row>82</xdr:row>
      <xdr:rowOff>136071</xdr:rowOff>
    </xdr:to>
    <xdr:pic>
      <xdr:nvPicPr>
        <xdr:cNvPr id="3" name="Picture 2" descr="2500 x 4500 mm Stratus Aluminium Roof Lantern Style 5 (Traditional)">
          <a:extLst>
            <a:ext uri="{FF2B5EF4-FFF2-40B4-BE49-F238E27FC236}">
              <a16:creationId xmlns:a16="http://schemas.microsoft.com/office/drawing/2014/main" id="{E43B931C-3014-4FFA-955E-473174429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489" y="17123629"/>
          <a:ext cx="2588558" cy="1386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156882</xdr:colOff>
      <xdr:row>64</xdr:row>
      <xdr:rowOff>33619</xdr:rowOff>
    </xdr:from>
    <xdr:to>
      <xdr:col>4</xdr:col>
      <xdr:colOff>2760233</xdr:colOff>
      <xdr:row>74</xdr:row>
      <xdr:rowOff>98681</xdr:rowOff>
    </xdr:to>
    <xdr:pic>
      <xdr:nvPicPr>
        <xdr:cNvPr id="4" name="Picture 3" descr="Flat Conservation Rooflight - Stella Rooflight">
          <a:extLst>
            <a:ext uri="{FF2B5EF4-FFF2-40B4-BE49-F238E27FC236}">
              <a16:creationId xmlns:a16="http://schemas.microsoft.com/office/drawing/2014/main" id="{C6A6336B-4A67-404C-BB3B-9AA1BB003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282" y="14940244"/>
          <a:ext cx="2610971" cy="1989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PROJECTS\19401\08-Exports\2024.05.14%20-%20Latest%20SoA\Old%20Town%20-%20SoA.xlsx" TargetMode="External"/><Relationship Id="rId1" Type="http://schemas.openxmlformats.org/officeDocument/2006/relationships/externalLinkPath" Target="/PROJECTS/19401/08-Exports/2024.05.14%20-%20Latest%20SoA/Old%20Town%20-%20So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ot By Plot SoA"/>
      <sheetName val="Single &amp; Multi Family (Filtere)"/>
      <sheetName val="Block By Block SoA"/>
      <sheetName val="14 - Affordable A"/>
      <sheetName val="23 - Affordable B"/>
      <sheetName val="35 - Affordable C"/>
      <sheetName val="55 - Affordable D"/>
      <sheetName val="74 - Affordable E "/>
    </sheetNames>
    <sheetDataSet>
      <sheetData sheetId="0">
        <row r="323">
          <cell r="B323" t="str">
            <v>Retail 1</v>
          </cell>
        </row>
        <row r="324">
          <cell r="B324" t="str">
            <v>Retail 2</v>
          </cell>
        </row>
        <row r="325">
          <cell r="B325" t="str">
            <v>Retail 3</v>
          </cell>
        </row>
        <row r="326">
          <cell r="B326" t="str">
            <v>Retail 4</v>
          </cell>
        </row>
        <row r="327">
          <cell r="B327" t="str">
            <v>Retail 5</v>
          </cell>
        </row>
        <row r="328">
          <cell r="B328" t="str">
            <v>Concierge</v>
          </cell>
          <cell r="C328">
            <v>169.5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7325-13B6-41F8-B574-0B95DB6E14BB}">
  <sheetPr>
    <pageSetUpPr fitToPage="1"/>
  </sheetPr>
  <dimension ref="A1:AB328"/>
  <sheetViews>
    <sheetView topLeftCell="A294" zoomScale="55" zoomScaleNormal="55" workbookViewId="0">
      <selection activeCell="Y49" sqref="Y49"/>
    </sheetView>
  </sheetViews>
  <sheetFormatPr defaultRowHeight="15" x14ac:dyDescent="0.25"/>
  <cols>
    <col min="1" max="1" width="14.140625" customWidth="1"/>
    <col min="2" max="7" width="12.7109375" customWidth="1"/>
    <col min="8" max="8" width="14.140625" customWidth="1"/>
    <col min="9" max="13" width="12.7109375" customWidth="1"/>
    <col min="15" max="15" width="14.5703125" customWidth="1"/>
    <col min="16" max="26" width="12.7109375" customWidth="1"/>
    <col min="27" max="27" width="14.42578125" bestFit="1" customWidth="1"/>
    <col min="28" max="28" width="12.7109375" customWidth="1"/>
  </cols>
  <sheetData>
    <row r="1" spans="1:28" x14ac:dyDescent="0.25">
      <c r="A1" s="1263"/>
      <c r="B1" s="1159" t="s">
        <v>353</v>
      </c>
      <c r="C1" s="1160"/>
      <c r="D1" s="1160"/>
      <c r="E1" s="1160"/>
      <c r="F1" s="1160"/>
      <c r="G1" s="1160"/>
      <c r="H1" s="1160"/>
      <c r="I1" s="1160"/>
      <c r="J1" s="1160"/>
      <c r="K1" s="1160"/>
      <c r="L1" s="1160"/>
      <c r="M1" s="1161"/>
      <c r="O1" s="1159" t="s">
        <v>353</v>
      </c>
      <c r="P1" s="1160"/>
      <c r="Q1" s="1160"/>
      <c r="R1" s="1160"/>
      <c r="S1" s="1161"/>
    </row>
    <row r="2" spans="1:28" x14ac:dyDescent="0.25">
      <c r="A2" s="1264"/>
      <c r="B2" s="1288" t="s">
        <v>395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90"/>
      <c r="O2" s="1162"/>
      <c r="P2" s="1163"/>
      <c r="Q2" s="1163"/>
      <c r="R2" s="1163"/>
      <c r="S2" s="1164"/>
    </row>
    <row r="3" spans="1:28" x14ac:dyDescent="0.25">
      <c r="A3" s="1264"/>
      <c r="B3" s="1288" t="s">
        <v>394</v>
      </c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90"/>
      <c r="O3" s="1205" t="s">
        <v>397</v>
      </c>
      <c r="P3" s="1206"/>
      <c r="Q3" s="1206"/>
      <c r="R3" s="1206"/>
      <c r="S3" s="1207"/>
    </row>
    <row r="4" spans="1:28" x14ac:dyDescent="0.25">
      <c r="A4" s="1234" t="s">
        <v>621</v>
      </c>
      <c r="B4" s="1291" t="s">
        <v>124</v>
      </c>
      <c r="C4" s="1256" t="s">
        <v>0</v>
      </c>
      <c r="D4" s="1293" t="s">
        <v>330</v>
      </c>
      <c r="E4" s="1294"/>
      <c r="F4" s="1256" t="s">
        <v>331</v>
      </c>
      <c r="G4" s="1256"/>
      <c r="H4" s="1256" t="s">
        <v>332</v>
      </c>
      <c r="I4" s="1256" t="s">
        <v>333</v>
      </c>
      <c r="J4" s="1295" t="s">
        <v>354</v>
      </c>
      <c r="K4" s="1256" t="s">
        <v>334</v>
      </c>
      <c r="L4" s="1256" t="s">
        <v>355</v>
      </c>
      <c r="M4" s="1258" t="s">
        <v>335</v>
      </c>
      <c r="O4" s="1180" t="s">
        <v>621</v>
      </c>
      <c r="P4" s="1186" t="s">
        <v>622</v>
      </c>
      <c r="Q4" s="1184"/>
      <c r="R4" s="1184" t="s">
        <v>243</v>
      </c>
      <c r="S4" s="1182" t="s">
        <v>242</v>
      </c>
      <c r="U4" s="1155" t="s">
        <v>396</v>
      </c>
      <c r="V4" s="1155"/>
      <c r="W4" s="1155"/>
      <c r="X4" s="1155"/>
      <c r="Y4" s="1155"/>
      <c r="Z4" s="1155"/>
      <c r="AA4" s="1155"/>
      <c r="AB4" s="1155"/>
    </row>
    <row r="5" spans="1:28" ht="30.75" thickBot="1" x14ac:dyDescent="0.3">
      <c r="A5" s="1235"/>
      <c r="B5" s="1292"/>
      <c r="C5" s="1257"/>
      <c r="D5" s="667" t="s">
        <v>341</v>
      </c>
      <c r="E5" s="667" t="s">
        <v>363</v>
      </c>
      <c r="F5" s="667" t="s">
        <v>336</v>
      </c>
      <c r="G5" s="667" t="s">
        <v>337</v>
      </c>
      <c r="H5" s="1257"/>
      <c r="I5" s="1257"/>
      <c r="J5" s="1296"/>
      <c r="K5" s="1257"/>
      <c r="L5" s="1257"/>
      <c r="M5" s="1259"/>
      <c r="O5" s="1181"/>
      <c r="P5" s="1187"/>
      <c r="Q5" s="1185"/>
      <c r="R5" s="1185"/>
      <c r="S5" s="1183"/>
      <c r="U5" s="1155"/>
      <c r="V5" s="1155"/>
      <c r="W5" s="1155"/>
      <c r="X5" s="1155"/>
      <c r="Y5" s="1155"/>
      <c r="Z5" s="1155"/>
      <c r="AA5" s="1155"/>
      <c r="AB5" s="1155"/>
    </row>
    <row r="6" spans="1:28" ht="15.75" thickTop="1" x14ac:dyDescent="0.25">
      <c r="A6" s="1223" t="s">
        <v>620</v>
      </c>
      <c r="B6" s="1225" t="s">
        <v>219</v>
      </c>
      <c r="C6" s="1227" t="s">
        <v>623</v>
      </c>
      <c r="D6" s="1228"/>
      <c r="E6" s="1228"/>
      <c r="F6" s="1228"/>
      <c r="G6" s="1228"/>
      <c r="H6" s="1228"/>
      <c r="I6" s="1228"/>
      <c r="J6" s="1228"/>
      <c r="K6" s="1228"/>
      <c r="L6" s="1228"/>
      <c r="M6" s="1229"/>
      <c r="O6" s="1188"/>
      <c r="P6" s="1189"/>
      <c r="Q6" s="1189"/>
      <c r="R6" s="1189"/>
      <c r="S6" s="1190"/>
    </row>
    <row r="7" spans="1:28" x14ac:dyDescent="0.25">
      <c r="A7" s="1224"/>
      <c r="B7" s="1226"/>
      <c r="C7" s="1230"/>
      <c r="D7" s="1152"/>
      <c r="E7" s="1152"/>
      <c r="F7" s="1152"/>
      <c r="G7" s="1152"/>
      <c r="H7" s="1152"/>
      <c r="I7" s="1152"/>
      <c r="J7" s="1152"/>
      <c r="K7" s="1152"/>
      <c r="L7" s="1152"/>
      <c r="M7" s="1231"/>
      <c r="O7" s="1191"/>
      <c r="P7" s="1192"/>
      <c r="Q7" s="1192"/>
      <c r="R7" s="1192"/>
      <c r="S7" s="1193"/>
    </row>
    <row r="8" spans="1:28" ht="15.75" thickBot="1" x14ac:dyDescent="0.3">
      <c r="A8" s="1224"/>
      <c r="B8" s="1226"/>
      <c r="C8" s="1230"/>
      <c r="D8" s="1152"/>
      <c r="E8" s="1152"/>
      <c r="F8" s="1152"/>
      <c r="G8" s="1152"/>
      <c r="H8" s="1152"/>
      <c r="I8" s="1152"/>
      <c r="J8" s="1152"/>
      <c r="K8" s="1152"/>
      <c r="L8" s="1152"/>
      <c r="M8" s="1231"/>
      <c r="O8" s="1194"/>
      <c r="P8" s="1195"/>
      <c r="Q8" s="1195"/>
      <c r="R8" s="1195"/>
      <c r="S8" s="1196"/>
    </row>
    <row r="9" spans="1:28" ht="45" customHeight="1" thickBot="1" x14ac:dyDescent="0.3">
      <c r="A9" s="1269" t="s">
        <v>611</v>
      </c>
      <c r="B9" s="1245" t="s">
        <v>338</v>
      </c>
      <c r="C9" s="897">
        <f>'Marketing SoA'!B6</f>
        <v>1</v>
      </c>
      <c r="D9" s="897" t="str">
        <f>'Marketing SoA'!C6</f>
        <v>Duplex Maisonette</v>
      </c>
      <c r="E9" s="897" t="str">
        <f>'Marketing SoA'!D6</f>
        <v>Semi-Detached First Floor DM</v>
      </c>
      <c r="F9" s="897">
        <f>'Marketing SoA'!E6</f>
        <v>65</v>
      </c>
      <c r="G9" s="957">
        <f>'Marketing SoA'!F6</f>
        <v>699.4</v>
      </c>
      <c r="H9" s="897" t="str">
        <f>'Marketing SoA'!G6</f>
        <v>2B3P</v>
      </c>
      <c r="I9" s="897">
        <f>'Marketing SoA'!H6</f>
        <v>2</v>
      </c>
      <c r="J9" s="897" t="str">
        <f>'Marketing SoA'!I6</f>
        <v>-</v>
      </c>
      <c r="K9" s="897" t="str">
        <f>'Marketing SoA'!J6</f>
        <v>On-site within MSCP</v>
      </c>
      <c r="L9" s="897" t="str">
        <f>'Marketing SoA'!K6</f>
        <v>Roof Terrace</v>
      </c>
      <c r="M9" s="902">
        <f>'Marketing SoA'!L6</f>
        <v>73</v>
      </c>
      <c r="O9" s="1214" t="s">
        <v>611</v>
      </c>
      <c r="P9" s="1211" t="s">
        <v>9</v>
      </c>
      <c r="Q9" s="1212"/>
      <c r="R9" s="901">
        <v>69.25</v>
      </c>
      <c r="S9" s="900">
        <f t="shared" ref="S9:S11" si="0">SUM(R9*10.7639)</f>
        <v>745.40007500000002</v>
      </c>
      <c r="U9" s="1156" t="s">
        <v>611</v>
      </c>
      <c r="V9" s="1136" t="s">
        <v>625</v>
      </c>
      <c r="W9" s="1137"/>
      <c r="X9" s="1137"/>
      <c r="Y9" s="1137"/>
      <c r="Z9" s="1137"/>
      <c r="AA9" s="1137"/>
      <c r="AB9" s="1138"/>
    </row>
    <row r="10" spans="1:28" ht="30" customHeight="1" x14ac:dyDescent="0.25">
      <c r="A10" s="1270"/>
      <c r="B10" s="1246"/>
      <c r="C10" s="898">
        <f>'Marketing SoA'!B7</f>
        <v>2</v>
      </c>
      <c r="D10" s="898" t="str">
        <f>'Marketing SoA'!C7</f>
        <v>Duplex Maisonette</v>
      </c>
      <c r="E10" s="898" t="str">
        <f>'Marketing SoA'!D7</f>
        <v>Semi-Detached First Floor DM</v>
      </c>
      <c r="F10" s="898">
        <f>'Marketing SoA'!E7</f>
        <v>103</v>
      </c>
      <c r="G10" s="958">
        <f>'Marketing SoA'!F7</f>
        <v>1108.28</v>
      </c>
      <c r="H10" s="898" t="str">
        <f>'Marketing SoA'!G7</f>
        <v>3B4P</v>
      </c>
      <c r="I10" s="898">
        <f>'Marketing SoA'!H7</f>
        <v>2</v>
      </c>
      <c r="J10" s="898" t="str">
        <f>'Marketing SoA'!I7</f>
        <v>-</v>
      </c>
      <c r="K10" s="898" t="str">
        <f>'Marketing SoA'!J7</f>
        <v>On-site within MSCP</v>
      </c>
      <c r="L10" s="898" t="str">
        <f>'Marketing SoA'!K7</f>
        <v>Roof Terrace</v>
      </c>
      <c r="M10" s="903">
        <f>'Marketing SoA'!L7</f>
        <v>105</v>
      </c>
      <c r="O10" s="1215"/>
      <c r="P10" s="1213" t="s">
        <v>10</v>
      </c>
      <c r="Q10" s="1213"/>
      <c r="R10" s="901">
        <v>71.569999999999993</v>
      </c>
      <c r="S10" s="900">
        <f t="shared" si="0"/>
        <v>770.37232299999994</v>
      </c>
      <c r="U10" s="1156"/>
      <c r="V10" s="165"/>
      <c r="W10" s="791" t="s">
        <v>60</v>
      </c>
      <c r="X10" s="385" t="s">
        <v>192</v>
      </c>
      <c r="Y10" s="792" t="s">
        <v>78</v>
      </c>
      <c r="Z10" s="793" t="s">
        <v>55</v>
      </c>
      <c r="AA10" s="162" t="s">
        <v>56</v>
      </c>
      <c r="AB10" s="655" t="s">
        <v>52</v>
      </c>
    </row>
    <row r="11" spans="1:28" ht="45" x14ac:dyDescent="0.25">
      <c r="A11" s="1270"/>
      <c r="B11" s="1246"/>
      <c r="C11" s="898">
        <f>'Marketing SoA'!B8</f>
        <v>3</v>
      </c>
      <c r="D11" s="898" t="str">
        <f>'Marketing SoA'!C8</f>
        <v>House</v>
      </c>
      <c r="E11" s="898" t="str">
        <f>'Marketing SoA'!D8</f>
        <v>MT House</v>
      </c>
      <c r="F11" s="898">
        <f>'Marketing SoA'!E8</f>
        <v>83.5</v>
      </c>
      <c r="G11" s="958">
        <f>'Marketing SoA'!F8</f>
        <v>898.46</v>
      </c>
      <c r="H11" s="898" t="str">
        <f>'Marketing SoA'!G8</f>
        <v>2B4P</v>
      </c>
      <c r="I11" s="898">
        <f>'Marketing SoA'!H8</f>
        <v>2</v>
      </c>
      <c r="J11" s="898" t="str">
        <f>'Marketing SoA'!I8</f>
        <v>-</v>
      </c>
      <c r="K11" s="898" t="str">
        <f>'Marketing SoA'!J8</f>
        <v>On-plot Allocated Parking</v>
      </c>
      <c r="L11" s="898" t="str">
        <f>'Marketing SoA'!K8</f>
        <v>Frontage Amenity</v>
      </c>
      <c r="M11" s="903">
        <f>'Marketing SoA'!L8</f>
        <v>165</v>
      </c>
      <c r="O11" s="1216"/>
      <c r="P11" s="1213" t="s">
        <v>11</v>
      </c>
      <c r="Q11" s="1213"/>
      <c r="R11" s="901">
        <v>75</v>
      </c>
      <c r="S11" s="900">
        <f t="shared" si="0"/>
        <v>807.29250000000002</v>
      </c>
      <c r="U11" s="1156"/>
      <c r="V11" s="155" t="s">
        <v>28</v>
      </c>
      <c r="W11" s="781">
        <f>COUNTIFS('Plot By Plot SoA'!$E$6:$E$26,"Y",'Plot By Plot SoA'!$K$6:$K$26,"Y")</f>
        <v>0</v>
      </c>
      <c r="X11" s="789">
        <f>COUNTIFS('Plot By Plot SoA'!$F$6:$F$26,"Y",'Plot By Plot SoA'!$K$6:$K$26,"Y")</f>
        <v>0</v>
      </c>
      <c r="Y11" s="786">
        <f>COUNTIFS('Plot By Plot SoA'!$G$6:$G$26,"Y",'Plot By Plot SoA'!$K$6:$K$26,"Y")</f>
        <v>2</v>
      </c>
      <c r="Z11" s="786">
        <f>COUNTIFS('Plot By Plot SoA'!$H$6:$H$26,"Y",'Plot By Plot SoA'!$K$6:$K$26,"Y")</f>
        <v>0</v>
      </c>
      <c r="AA11" s="780">
        <f>COUNTIFS('Plot By Plot SoA'!$I$6:$I$26,"Y",'Plot By Plot SoA'!$K$6:$K$26,"Y")</f>
        <v>0</v>
      </c>
      <c r="AB11" s="471">
        <f>SUM(W11:AA11)</f>
        <v>2</v>
      </c>
    </row>
    <row r="12" spans="1:28" ht="45" x14ac:dyDescent="0.25">
      <c r="A12" s="1270"/>
      <c r="B12" s="1246"/>
      <c r="C12" s="898">
        <f>'Marketing SoA'!B9</f>
        <v>4</v>
      </c>
      <c r="D12" s="898" t="str">
        <f>'Marketing SoA'!C9</f>
        <v>House</v>
      </c>
      <c r="E12" s="898" t="str">
        <f>'Marketing SoA'!D9</f>
        <v>MT House</v>
      </c>
      <c r="F12" s="898">
        <f>'Marketing SoA'!E9</f>
        <v>97.7</v>
      </c>
      <c r="G12" s="958">
        <f>'Marketing SoA'!F9</f>
        <v>1051.252</v>
      </c>
      <c r="H12" s="898" t="str">
        <f>'Marketing SoA'!G9</f>
        <v>2B4P</v>
      </c>
      <c r="I12" s="898">
        <f>'Marketing SoA'!H9</f>
        <v>2</v>
      </c>
      <c r="J12" s="898" t="str">
        <f>'Marketing SoA'!I9</f>
        <v>-</v>
      </c>
      <c r="K12" s="898" t="str">
        <f>'Marketing SoA'!J9</f>
        <v>On-plot Allocated Parking</v>
      </c>
      <c r="L12" s="898" t="str">
        <f>'Marketing SoA'!K9</f>
        <v>Frontage Amenity</v>
      </c>
      <c r="M12" s="903">
        <f>'Marketing SoA'!L9</f>
        <v>75</v>
      </c>
      <c r="O12" s="1188"/>
      <c r="P12" s="1189"/>
      <c r="Q12" s="1189"/>
      <c r="R12" s="1189"/>
      <c r="S12" s="1190"/>
      <c r="U12" s="1156"/>
      <c r="V12" s="155" t="s">
        <v>29</v>
      </c>
      <c r="W12" s="782">
        <f>COUNTIFS('Plot By Plot SoA'!$E$6:$E$26,"Y",'Plot By Plot SoA'!$L$6:$L$26,"Y")</f>
        <v>8</v>
      </c>
      <c r="X12" s="198">
        <f>COUNTIFS('Plot By Plot SoA'!$F$6:$F$26,"Y",'Plot By Plot SoA'!$L$6:$L$26,"Y")</f>
        <v>0</v>
      </c>
      <c r="Y12" s="770">
        <f>COUNTIFS('Plot By Plot SoA'!$G$6:$G$26,"Y",'Plot By Plot SoA'!$L$6:$L$26,"Y")</f>
        <v>5</v>
      </c>
      <c r="Z12" s="770">
        <f>COUNTIFS('Plot By Plot SoA'!$H$6:$H$26,"Y",'Plot By Plot SoA'!$L$6:$L$26,"Y")</f>
        <v>0</v>
      </c>
      <c r="AA12" s="779">
        <f>COUNTIFS('Plot By Plot SoA'!$I$6:$I$26,"Y",'Plot By Plot SoA'!$L$6:$L$26,"Y")</f>
        <v>0</v>
      </c>
      <c r="AB12" s="805">
        <f>SUM(W12:AA12)</f>
        <v>13</v>
      </c>
    </row>
    <row r="13" spans="1:28" ht="30" x14ac:dyDescent="0.25">
      <c r="A13" s="1270"/>
      <c r="B13" s="1247"/>
      <c r="C13" s="898">
        <f>'Marketing SoA'!B10</f>
        <v>5</v>
      </c>
      <c r="D13" s="898" t="str">
        <f>'Marketing SoA'!C10</f>
        <v>House</v>
      </c>
      <c r="E13" s="898" t="str">
        <f>'Marketing SoA'!D10</f>
        <v>EoT House</v>
      </c>
      <c r="F13" s="898">
        <f>'Marketing SoA'!E10</f>
        <v>70.2</v>
      </c>
      <c r="G13" s="958">
        <f>'Marketing SoA'!F10</f>
        <v>755.35199999999998</v>
      </c>
      <c r="H13" s="898" t="str">
        <f>'Marketing SoA'!G10</f>
        <v>2B3P</v>
      </c>
      <c r="I13" s="898">
        <f>'Marketing SoA'!H10</f>
        <v>2</v>
      </c>
      <c r="J13" s="898" t="str">
        <f>'Marketing SoA'!I10</f>
        <v>-</v>
      </c>
      <c r="K13" s="898" t="str">
        <f>'Marketing SoA'!J10</f>
        <v>On-site within MSCP</v>
      </c>
      <c r="L13" s="898" t="str">
        <f>'Marketing SoA'!K10</f>
        <v>Frontage Amenity</v>
      </c>
      <c r="M13" s="903">
        <f>'Marketing SoA'!L10</f>
        <v>208</v>
      </c>
      <c r="O13" s="1191"/>
      <c r="P13" s="1192"/>
      <c r="Q13" s="1192"/>
      <c r="R13" s="1192"/>
      <c r="S13" s="1193"/>
      <c r="U13" s="1156"/>
      <c r="V13" s="155" t="s">
        <v>30</v>
      </c>
      <c r="W13" s="784">
        <f>COUNTIFS('Plot By Plot SoA'!$E$6:$E$26,"Y",'Plot By Plot SoA'!$M$6:$M$26,"Y")</f>
        <v>3</v>
      </c>
      <c r="X13" s="180">
        <f>COUNTIFS('Plot By Plot SoA'!$F$6:$F$26,"Y",'Plot By Plot SoA'!$M$6:$M$26,"Y")</f>
        <v>0</v>
      </c>
      <c r="Y13" s="787">
        <f>COUNTIFS('Plot By Plot SoA'!$G$6:$G$26,"Y",'Plot By Plot SoA'!$M$6:$M$26,"Y")</f>
        <v>1</v>
      </c>
      <c r="Z13" s="787">
        <f>COUNTIFS('Plot By Plot SoA'!$H$6:$H$26,"Y",'Plot By Plot SoA'!$M$6:$M$26,"Y")</f>
        <v>0</v>
      </c>
      <c r="AA13" s="785">
        <f>COUNTIFS('Plot By Plot SoA'!$I$6:$I$26,"Y",'Plot By Plot SoA'!$M$6:$M$26,"Y")</f>
        <v>0</v>
      </c>
      <c r="AB13" s="805">
        <f>SUM(W13:AA13)</f>
        <v>4</v>
      </c>
    </row>
    <row r="14" spans="1:28" ht="45" customHeight="1" thickBot="1" x14ac:dyDescent="0.3">
      <c r="A14" s="1270"/>
      <c r="B14" s="1253" t="s">
        <v>44</v>
      </c>
      <c r="C14" s="898">
        <f>'Marketing SoA'!B11</f>
        <v>6</v>
      </c>
      <c r="D14" s="898" t="str">
        <f>'Marketing SoA'!C11</f>
        <v>House</v>
      </c>
      <c r="E14" s="898" t="str">
        <f>'Marketing SoA'!D11</f>
        <v>EoT House</v>
      </c>
      <c r="F14" s="898">
        <f>'Marketing SoA'!E11</f>
        <v>100.6</v>
      </c>
      <c r="G14" s="958">
        <f>'Marketing SoA'!F11</f>
        <v>1082.84834</v>
      </c>
      <c r="H14" s="898" t="str">
        <f>'Marketing SoA'!G11</f>
        <v>3B4P</v>
      </c>
      <c r="I14" s="898">
        <f>'Marketing SoA'!H11</f>
        <v>2</v>
      </c>
      <c r="J14" s="898" t="str">
        <f>'Marketing SoA'!I11</f>
        <v>-</v>
      </c>
      <c r="K14" s="898" t="str">
        <f>'Marketing SoA'!J11</f>
        <v>On-plot Allocated Parking</v>
      </c>
      <c r="L14" s="898" t="str">
        <f>'Marketing SoA'!K11</f>
        <v>Private Front Garden</v>
      </c>
      <c r="M14" s="903">
        <f>'Marketing SoA'!L11</f>
        <v>73</v>
      </c>
      <c r="O14" s="1191"/>
      <c r="P14" s="1192"/>
      <c r="Q14" s="1192"/>
      <c r="R14" s="1192"/>
      <c r="S14" s="1193"/>
      <c r="U14" s="1156"/>
      <c r="V14" s="165" t="s">
        <v>62</v>
      </c>
      <c r="W14" s="783">
        <f>COUNTIFS('Plot By Plot SoA'!$E$6:$E$26,"Y",'Plot By Plot SoA'!$N$6:$N$26,"Y")</f>
        <v>1</v>
      </c>
      <c r="X14" s="790">
        <f>COUNTIFS('Plot By Plot SoA'!$F$6:$F$26,"Y",'Plot By Plot SoA'!$N$6:$N$26,"Y")</f>
        <v>0</v>
      </c>
      <c r="Y14" s="788">
        <f>COUNTIFS('Plot By Plot SoA'!$G$6:$G$26,"Y",'Plot By Plot SoA'!$N$6:$N$26,"Y")</f>
        <v>0</v>
      </c>
      <c r="Z14" s="788">
        <f>COUNTIFS('Plot By Plot SoA'!$H$6:$H$26,"Y",'Plot By Plot SoA'!$N$6:$N$26,"Y")</f>
        <v>0</v>
      </c>
      <c r="AA14" s="162">
        <f>COUNTIFS('Plot By Plot SoA'!$I$6:$I$26,"Y",'Plot By Plot SoA'!$N$6:$N$26,"Y")</f>
        <v>0</v>
      </c>
      <c r="AB14" s="656">
        <f>SUM(W14:AA14)</f>
        <v>1</v>
      </c>
    </row>
    <row r="15" spans="1:28" ht="30.75" thickBot="1" x14ac:dyDescent="0.3">
      <c r="A15" s="1270"/>
      <c r="B15" s="1254"/>
      <c r="C15" s="898">
        <f>'Marketing SoA'!B12</f>
        <v>7</v>
      </c>
      <c r="D15" s="898" t="str">
        <f>'Marketing SoA'!C12</f>
        <v>House</v>
      </c>
      <c r="E15" s="898" t="str">
        <f>'Marketing SoA'!D12</f>
        <v>MT House</v>
      </c>
      <c r="F15" s="898">
        <f>'Marketing SoA'!E12</f>
        <v>79.8</v>
      </c>
      <c r="G15" s="958">
        <f>'Marketing SoA'!F12</f>
        <v>858.95921999999996</v>
      </c>
      <c r="H15" s="898" t="str">
        <f>'Marketing SoA'!G12</f>
        <v>2B3P</v>
      </c>
      <c r="I15" s="898">
        <f>'Marketing SoA'!H12</f>
        <v>2</v>
      </c>
      <c r="J15" s="898" t="str">
        <f>'Marketing SoA'!I12</f>
        <v>-</v>
      </c>
      <c r="K15" s="898" t="str">
        <f>'Marketing SoA'!J12</f>
        <v>On-site within MSCP</v>
      </c>
      <c r="L15" s="898" t="str">
        <f>'Marketing SoA'!K12</f>
        <v>Private Front Garden</v>
      </c>
      <c r="M15" s="903">
        <f>'Marketing SoA'!L12</f>
        <v>181</v>
      </c>
      <c r="O15" s="1191"/>
      <c r="P15" s="1192"/>
      <c r="Q15" s="1192"/>
      <c r="R15" s="1192"/>
      <c r="S15" s="1193"/>
      <c r="U15" s="1156"/>
      <c r="V15" s="648" t="s">
        <v>52</v>
      </c>
      <c r="W15" s="480">
        <f>SUM(W11:W14)</f>
        <v>12</v>
      </c>
      <c r="X15" s="649">
        <f>SUM(X12:X14)</f>
        <v>0</v>
      </c>
      <c r="Y15" s="480">
        <f>SUM(Y11:Y14)</f>
        <v>8</v>
      </c>
      <c r="Z15" s="480">
        <f>SUM(Z11:Z14)</f>
        <v>0</v>
      </c>
      <c r="AA15" s="480">
        <f>SUM(AA11:AA14)</f>
        <v>0</v>
      </c>
      <c r="AB15" s="891">
        <f>SUM(W15:AA15)</f>
        <v>20</v>
      </c>
    </row>
    <row r="16" spans="1:28" ht="45.75" thickBot="1" x14ac:dyDescent="0.3">
      <c r="A16" s="1270"/>
      <c r="B16" s="1254"/>
      <c r="C16" s="898">
        <f>'Marketing SoA'!B13</f>
        <v>8</v>
      </c>
      <c r="D16" s="898" t="str">
        <f>'Marketing SoA'!C13</f>
        <v>House</v>
      </c>
      <c r="E16" s="898" t="str">
        <f>'Marketing SoA'!D13</f>
        <v>EoT House</v>
      </c>
      <c r="F16" s="898">
        <f>'Marketing SoA'!E13</f>
        <v>140.19999999999999</v>
      </c>
      <c r="G16" s="958">
        <f>'Marketing SoA'!F13</f>
        <v>1509.0987799999998</v>
      </c>
      <c r="H16" s="898" t="str">
        <f>'Marketing SoA'!G13</f>
        <v>4B7P</v>
      </c>
      <c r="I16" s="898">
        <f>'Marketing SoA'!H13</f>
        <v>3</v>
      </c>
      <c r="J16" s="898" t="str">
        <f>'Marketing SoA'!I13</f>
        <v>-</v>
      </c>
      <c r="K16" s="898" t="str">
        <f>'Marketing SoA'!J13</f>
        <v>On-plot Allocated Parking</v>
      </c>
      <c r="L16" s="898" t="str">
        <f>'Marketing SoA'!K13</f>
        <v>Private Front Garden</v>
      </c>
      <c r="M16" s="903">
        <f>'Marketing SoA'!L13</f>
        <v>297</v>
      </c>
      <c r="O16" s="1191"/>
      <c r="P16" s="1192"/>
      <c r="Q16" s="1192"/>
      <c r="R16" s="1192"/>
      <c r="S16" s="1193"/>
      <c r="U16" s="1156"/>
    </row>
    <row r="17" spans="1:28" ht="30" x14ac:dyDescent="0.25">
      <c r="A17" s="1270"/>
      <c r="B17" s="1254"/>
      <c r="C17" s="898">
        <f>'Marketing SoA'!B14</f>
        <v>9</v>
      </c>
      <c r="D17" s="898" t="str">
        <f>'Marketing SoA'!C14</f>
        <v>Duplex Maisonette</v>
      </c>
      <c r="E17" s="898" t="str">
        <f>'Marketing SoA'!D14</f>
        <v>EoT FF DM</v>
      </c>
      <c r="F17" s="898">
        <f>'Marketing SoA'!E14</f>
        <v>85</v>
      </c>
      <c r="G17" s="958">
        <f>'Marketing SoA'!F14</f>
        <v>914.93149999999991</v>
      </c>
      <c r="H17" s="898" t="str">
        <f>'Marketing SoA'!G14</f>
        <v>2B4P</v>
      </c>
      <c r="I17" s="898">
        <f>'Marketing SoA'!H14</f>
        <v>2</v>
      </c>
      <c r="J17" s="898" t="str">
        <f>'Marketing SoA'!I14</f>
        <v>-</v>
      </c>
      <c r="K17" s="898" t="str">
        <f>'Marketing SoA'!J14</f>
        <v>On-site within MSCP</v>
      </c>
      <c r="L17" s="898" t="str">
        <f>'Marketing SoA'!K14</f>
        <v>Roof Terrace</v>
      </c>
      <c r="M17" s="903">
        <f>'Marketing SoA'!L14</f>
        <v>140</v>
      </c>
      <c r="O17" s="1191"/>
      <c r="P17" s="1192"/>
      <c r="Q17" s="1192"/>
      <c r="R17" s="1192"/>
      <c r="S17" s="1193"/>
      <c r="U17" s="1156"/>
      <c r="V17" s="1139" t="s">
        <v>413</v>
      </c>
      <c r="W17" s="1140"/>
      <c r="X17" s="1140"/>
      <c r="Y17" s="1140"/>
      <c r="Z17" s="1140"/>
      <c r="AA17" s="1141"/>
    </row>
    <row r="18" spans="1:28" ht="30" x14ac:dyDescent="0.35">
      <c r="A18" s="1270"/>
      <c r="B18" s="1254"/>
      <c r="C18" s="898">
        <f>'Marketing SoA'!B15</f>
        <v>10</v>
      </c>
      <c r="D18" s="898" t="str">
        <f>'Marketing SoA'!C15</f>
        <v>Duplex Maisonette</v>
      </c>
      <c r="E18" s="898" t="str">
        <f>'Marketing SoA'!D15</f>
        <v>MT FF DM</v>
      </c>
      <c r="F18" s="898">
        <f>'Marketing SoA'!E15</f>
        <v>54.5</v>
      </c>
      <c r="G18" s="958">
        <f>'Marketing SoA'!F15</f>
        <v>586.63254999999992</v>
      </c>
      <c r="H18" s="898" t="str">
        <f>'Marketing SoA'!G15</f>
        <v>1B2P</v>
      </c>
      <c r="I18" s="898">
        <f>'Marketing SoA'!H15</f>
        <v>2</v>
      </c>
      <c r="J18" s="898" t="str">
        <f>'Marketing SoA'!I15</f>
        <v>-</v>
      </c>
      <c r="K18" s="898" t="str">
        <f>'Marketing SoA'!J15</f>
        <v>On-site within MSCP</v>
      </c>
      <c r="L18" s="898" t="str">
        <f>'Marketing SoA'!K15</f>
        <v>Roof Terrace</v>
      </c>
      <c r="M18" s="903">
        <f>'Marketing SoA'!L15</f>
        <v>102</v>
      </c>
      <c r="O18" s="1191"/>
      <c r="P18" s="1192"/>
      <c r="Q18" s="1192"/>
      <c r="R18" s="1192"/>
      <c r="S18" s="1193"/>
      <c r="U18" s="1156"/>
      <c r="V18" s="1142"/>
      <c r="W18" s="1143"/>
      <c r="X18" s="1143"/>
      <c r="Y18" s="1144"/>
      <c r="Z18" s="644" t="s">
        <v>243</v>
      </c>
      <c r="AA18" s="645" t="s">
        <v>242</v>
      </c>
    </row>
    <row r="19" spans="1:28" ht="30" x14ac:dyDescent="0.25">
      <c r="A19" s="1270"/>
      <c r="B19" s="1254"/>
      <c r="C19" s="898">
        <f>'Marketing SoA'!B16</f>
        <v>11</v>
      </c>
      <c r="D19" s="898" t="str">
        <f>'Marketing SoA'!C16</f>
        <v>Duplex Maisonette</v>
      </c>
      <c r="E19" s="898" t="str">
        <f>'Marketing SoA'!D16</f>
        <v>EoT FF DM</v>
      </c>
      <c r="F19" s="898">
        <f>'Marketing SoA'!E16</f>
        <v>86.1</v>
      </c>
      <c r="G19" s="958">
        <f>'Marketing SoA'!F16</f>
        <v>926.7717899999999</v>
      </c>
      <c r="H19" s="898" t="str">
        <f>'Marketing SoA'!G16</f>
        <v>2B3P</v>
      </c>
      <c r="I19" s="898">
        <f>'Marketing SoA'!H16</f>
        <v>2</v>
      </c>
      <c r="J19" s="898" t="str">
        <f>'Marketing SoA'!I16</f>
        <v>-</v>
      </c>
      <c r="K19" s="898" t="str">
        <f>'Marketing SoA'!J16</f>
        <v>On-site within MSCP</v>
      </c>
      <c r="L19" s="898" t="str">
        <f>'Marketing SoA'!K16</f>
        <v>Roof Terrace</v>
      </c>
      <c r="M19" s="903">
        <f>'Marketing SoA'!L16</f>
        <v>51</v>
      </c>
      <c r="O19" s="1191"/>
      <c r="P19" s="1192"/>
      <c r="Q19" s="1192"/>
      <c r="R19" s="1192"/>
      <c r="S19" s="1193"/>
      <c r="U19" s="1156"/>
      <c r="V19" s="1145" t="s">
        <v>626</v>
      </c>
      <c r="W19" s="1146"/>
      <c r="X19" s="1146"/>
      <c r="Y19" s="1147"/>
      <c r="Z19" s="776">
        <f>SUM(F9:F28)</f>
        <v>1687.8999999999994</v>
      </c>
      <c r="AA19" s="890">
        <f>SUM(Z19*10.764)</f>
        <v>18168.555599999992</v>
      </c>
    </row>
    <row r="20" spans="1:28" ht="30.75" customHeight="1" thickBot="1" x14ac:dyDescent="0.3">
      <c r="A20" s="1270"/>
      <c r="B20" s="1254"/>
      <c r="C20" s="898">
        <f>'Marketing SoA'!B17</f>
        <v>12</v>
      </c>
      <c r="D20" s="898" t="str">
        <f>'Marketing SoA'!C17</f>
        <v>House</v>
      </c>
      <c r="E20" s="898" t="str">
        <f>'Marketing SoA'!D17</f>
        <v>EoT House</v>
      </c>
      <c r="F20" s="898">
        <f>'Marketing SoA'!E17</f>
        <v>71.5</v>
      </c>
      <c r="G20" s="958">
        <f>'Marketing SoA'!F17</f>
        <v>769.61884999999995</v>
      </c>
      <c r="H20" s="898" t="str">
        <f>'Marketing SoA'!G17</f>
        <v>2B3P</v>
      </c>
      <c r="I20" s="898">
        <f>'Marketing SoA'!H17</f>
        <v>2</v>
      </c>
      <c r="J20" s="898" t="str">
        <f>'Marketing SoA'!I17</f>
        <v>-</v>
      </c>
      <c r="K20" s="898" t="str">
        <f>'Marketing SoA'!J17</f>
        <v>On-site within MSCP</v>
      </c>
      <c r="L20" s="898" t="str">
        <f>'Marketing SoA'!K17</f>
        <v>Frontage Amenity</v>
      </c>
      <c r="M20" s="903">
        <f>'Marketing SoA'!L17</f>
        <v>146</v>
      </c>
      <c r="O20" s="1191"/>
      <c r="P20" s="1192"/>
      <c r="Q20" s="1192"/>
      <c r="R20" s="1192"/>
      <c r="S20" s="1193"/>
      <c r="U20" s="1156"/>
      <c r="V20" s="1151" t="s">
        <v>627</v>
      </c>
      <c r="W20" s="1152"/>
      <c r="X20" s="1152"/>
      <c r="Y20" s="1152"/>
      <c r="Z20" s="646">
        <f>SUM(R9:R11)</f>
        <v>215.82</v>
      </c>
      <c r="AA20" s="777">
        <f>SUM(Z20*10.764)</f>
        <v>2323.0864799999999</v>
      </c>
    </row>
    <row r="21" spans="1:28" ht="45.75" thickBot="1" x14ac:dyDescent="0.3">
      <c r="A21" s="1270"/>
      <c r="B21" s="1254"/>
      <c r="C21" s="898">
        <f>'Marketing SoA'!B18</f>
        <v>13</v>
      </c>
      <c r="D21" s="898" t="str">
        <f>'Marketing SoA'!C18</f>
        <v>House</v>
      </c>
      <c r="E21" s="898" t="str">
        <f>'Marketing SoA'!D18</f>
        <v>MT House</v>
      </c>
      <c r="F21" s="898">
        <f>'Marketing SoA'!E18</f>
        <v>105.8</v>
      </c>
      <c r="G21" s="958">
        <f>'Marketing SoA'!F18</f>
        <v>1138.82062</v>
      </c>
      <c r="H21" s="898" t="str">
        <f>'Marketing SoA'!G18</f>
        <v>3B5P</v>
      </c>
      <c r="I21" s="898">
        <f>'Marketing SoA'!H18</f>
        <v>3</v>
      </c>
      <c r="J21" s="898" t="str">
        <f>'Marketing SoA'!I18</f>
        <v>-</v>
      </c>
      <c r="K21" s="898" t="str">
        <f>'Marketing SoA'!J18</f>
        <v>On-plot Allocated Parking</v>
      </c>
      <c r="L21" s="898" t="str">
        <f>'Marketing SoA'!K18</f>
        <v>Roof Terrace</v>
      </c>
      <c r="M21" s="903">
        <f>'Marketing SoA'!L18</f>
        <v>164</v>
      </c>
      <c r="O21" s="1191"/>
      <c r="P21" s="1192"/>
      <c r="Q21" s="1192"/>
      <c r="R21" s="1192"/>
      <c r="S21" s="1193"/>
      <c r="U21" s="1156"/>
      <c r="V21" s="1148" t="s">
        <v>414</v>
      </c>
      <c r="W21" s="1149"/>
      <c r="X21" s="1149"/>
      <c r="Y21" s="1149"/>
      <c r="Z21" s="647">
        <f>SUM(Z19:Z20)</f>
        <v>1903.7199999999993</v>
      </c>
      <c r="AA21" s="650">
        <f>SUM(AA19:AA20)</f>
        <v>20491.642079999991</v>
      </c>
    </row>
    <row r="22" spans="1:28" ht="30" x14ac:dyDescent="0.25">
      <c r="A22" s="1270"/>
      <c r="B22" s="1255"/>
      <c r="C22" s="898">
        <f>'Marketing SoA'!B19</f>
        <v>14</v>
      </c>
      <c r="D22" s="898" t="str">
        <f>'Marketing SoA'!C19</f>
        <v>House</v>
      </c>
      <c r="E22" s="898" t="str">
        <f>'Marketing SoA'!D19</f>
        <v>EoT House</v>
      </c>
      <c r="F22" s="898">
        <f>'Marketing SoA'!E19</f>
        <v>70.599999999999994</v>
      </c>
      <c r="G22" s="958">
        <f>'Marketing SoA'!F19</f>
        <v>759.93133999999986</v>
      </c>
      <c r="H22" s="898" t="str">
        <f>'Marketing SoA'!G19</f>
        <v>2B3P</v>
      </c>
      <c r="I22" s="898">
        <f>'Marketing SoA'!H19</f>
        <v>2</v>
      </c>
      <c r="J22" s="898" t="str">
        <f>'Marketing SoA'!I19</f>
        <v>-</v>
      </c>
      <c r="K22" s="898" t="str">
        <f>'Marketing SoA'!J19</f>
        <v>On-site within MSCP</v>
      </c>
      <c r="L22" s="898" t="str">
        <f>'Marketing SoA'!K19</f>
        <v>Private Front Garden</v>
      </c>
      <c r="M22" s="903">
        <f>'Marketing SoA'!L19</f>
        <v>123</v>
      </c>
      <c r="O22" s="1191"/>
      <c r="P22" s="1192"/>
      <c r="Q22" s="1192"/>
      <c r="R22" s="1192"/>
      <c r="S22" s="1193"/>
    </row>
    <row r="23" spans="1:28" ht="45" x14ac:dyDescent="0.25">
      <c r="A23" s="1270"/>
      <c r="B23" s="1245" t="s">
        <v>338</v>
      </c>
      <c r="C23" s="898">
        <f>'Marketing SoA'!B20</f>
        <v>15</v>
      </c>
      <c r="D23" s="898" t="str">
        <f>'Marketing SoA'!C20</f>
        <v>House</v>
      </c>
      <c r="E23" s="898" t="str">
        <f>'Marketing SoA'!D20</f>
        <v>EoT House</v>
      </c>
      <c r="F23" s="898">
        <f>'Marketing SoA'!E20</f>
        <v>99.3</v>
      </c>
      <c r="G23" s="958">
        <f>'Marketing SoA'!F20</f>
        <v>1068.4679999999998</v>
      </c>
      <c r="H23" s="898" t="str">
        <f>'Marketing SoA'!G20</f>
        <v>3B5P</v>
      </c>
      <c r="I23" s="898">
        <f>'Marketing SoA'!H20</f>
        <v>2</v>
      </c>
      <c r="J23" s="898" t="str">
        <f>'Marketing SoA'!I20</f>
        <v>Y</v>
      </c>
      <c r="K23" s="898" t="str">
        <f>'Marketing SoA'!J20</f>
        <v>On-plot Allocated Parking</v>
      </c>
      <c r="L23" s="898" t="str">
        <f>'Marketing SoA'!K20</f>
        <v>Private Front Garden</v>
      </c>
      <c r="M23" s="903">
        <f>'Marketing SoA'!L20</f>
        <v>198</v>
      </c>
      <c r="O23" s="1191"/>
      <c r="P23" s="1192"/>
      <c r="Q23" s="1192"/>
      <c r="R23" s="1192"/>
      <c r="S23" s="1193"/>
    </row>
    <row r="24" spans="1:28" ht="30" customHeight="1" x14ac:dyDescent="0.25">
      <c r="A24" s="1270"/>
      <c r="B24" s="1246"/>
      <c r="C24" s="898">
        <f>'Marketing SoA'!B21</f>
        <v>16</v>
      </c>
      <c r="D24" s="898" t="str">
        <f>'Marketing SoA'!C21</f>
        <v>House</v>
      </c>
      <c r="E24" s="898" t="str">
        <f>'Marketing SoA'!D21</f>
        <v>Semi-Detached House</v>
      </c>
      <c r="F24" s="898">
        <f>'Marketing SoA'!E21</f>
        <v>83.1</v>
      </c>
      <c r="G24" s="958">
        <f>'Marketing SoA'!F21</f>
        <v>894.15599999999995</v>
      </c>
      <c r="H24" s="898" t="str">
        <f>'Marketing SoA'!G21</f>
        <v>2B3P</v>
      </c>
      <c r="I24" s="898">
        <f>'Marketing SoA'!H21</f>
        <v>3</v>
      </c>
      <c r="J24" s="898" t="str">
        <f>'Marketing SoA'!I21</f>
        <v>Y</v>
      </c>
      <c r="K24" s="898" t="str">
        <f>'Marketing SoA'!J21</f>
        <v>On-site within MSCP</v>
      </c>
      <c r="L24" s="898" t="str">
        <f>'Marketing SoA'!K21</f>
        <v>Roof Terrace</v>
      </c>
      <c r="M24" s="903">
        <f>'Marketing SoA'!L21</f>
        <v>243</v>
      </c>
      <c r="O24" s="1191"/>
      <c r="P24" s="1192"/>
      <c r="Q24" s="1192"/>
      <c r="R24" s="1192"/>
      <c r="S24" s="1193"/>
    </row>
    <row r="25" spans="1:28" ht="30" customHeight="1" x14ac:dyDescent="0.25">
      <c r="A25" s="1270"/>
      <c r="B25" s="1246"/>
      <c r="C25" s="898">
        <f>'Marketing SoA'!B22</f>
        <v>17</v>
      </c>
      <c r="D25" s="898" t="str">
        <f>'Marketing SoA'!C22</f>
        <v>House</v>
      </c>
      <c r="E25" s="898" t="str">
        <f>'Marketing SoA'!D22</f>
        <v>Semi-Detached House</v>
      </c>
      <c r="F25" s="898">
        <f>'Marketing SoA'!E22</f>
        <v>83.1</v>
      </c>
      <c r="G25" s="958">
        <f>'Marketing SoA'!F22</f>
        <v>894.4800899999999</v>
      </c>
      <c r="H25" s="898" t="str">
        <f>'Marketing SoA'!G22</f>
        <v>2B3P</v>
      </c>
      <c r="I25" s="898">
        <f>'Marketing SoA'!H22</f>
        <v>3</v>
      </c>
      <c r="J25" s="898" t="str">
        <f>'Marketing SoA'!I22</f>
        <v>Y</v>
      </c>
      <c r="K25" s="898" t="str">
        <f>'Marketing SoA'!J22</f>
        <v>On-site within MSCP</v>
      </c>
      <c r="L25" s="898" t="str">
        <f>'Marketing SoA'!K22</f>
        <v>Roof Terrace</v>
      </c>
      <c r="M25" s="903">
        <f>'Marketing SoA'!L22</f>
        <v>246</v>
      </c>
      <c r="O25" s="1191"/>
      <c r="P25" s="1192"/>
      <c r="Q25" s="1192"/>
      <c r="R25" s="1192"/>
      <c r="S25" s="1193"/>
    </row>
    <row r="26" spans="1:28" ht="30" x14ac:dyDescent="0.25">
      <c r="A26" s="1270"/>
      <c r="B26" s="1247"/>
      <c r="C26" s="898">
        <f>'Marketing SoA'!B23</f>
        <v>18</v>
      </c>
      <c r="D26" s="898" t="str">
        <f>'Marketing SoA'!C23</f>
        <v>Duplex Maisonette</v>
      </c>
      <c r="E26" s="898" t="str">
        <f>'Marketing SoA'!D23</f>
        <v>EoT First Floor DM</v>
      </c>
      <c r="F26" s="898">
        <f>'Marketing SoA'!E23</f>
        <v>65.599999999999994</v>
      </c>
      <c r="G26" s="958">
        <f>'Marketing SoA'!F23</f>
        <v>706.11183999999992</v>
      </c>
      <c r="H26" s="898" t="str">
        <f>'Marketing SoA'!G23</f>
        <v>2B3P</v>
      </c>
      <c r="I26" s="898">
        <f>'Marketing SoA'!H23</f>
        <v>2</v>
      </c>
      <c r="J26" s="898" t="str">
        <f>'Marketing SoA'!I23</f>
        <v>-</v>
      </c>
      <c r="K26" s="898" t="str">
        <f>'Marketing SoA'!J23</f>
        <v>On-site within MSCP</v>
      </c>
      <c r="L26" s="898" t="str">
        <f>'Marketing SoA'!K23</f>
        <v>Community Amenity</v>
      </c>
      <c r="M26" s="903" t="str">
        <f>'Marketing SoA'!L23</f>
        <v>-</v>
      </c>
      <c r="O26" s="1191"/>
      <c r="P26" s="1192"/>
      <c r="Q26" s="1192"/>
      <c r="R26" s="1192"/>
      <c r="S26" s="1193"/>
    </row>
    <row r="27" spans="1:28" ht="30" customHeight="1" x14ac:dyDescent="0.25">
      <c r="A27" s="1270"/>
      <c r="B27" s="1245" t="s">
        <v>339</v>
      </c>
      <c r="C27" s="898">
        <f>'Marketing SoA'!B24</f>
        <v>19</v>
      </c>
      <c r="D27" s="898" t="str">
        <f>'Marketing SoA'!C24</f>
        <v>Duplex Maisonette</v>
      </c>
      <c r="E27" s="898" t="str">
        <f>'Marketing SoA'!D24</f>
        <v>MT First Floor DM</v>
      </c>
      <c r="F27" s="898">
        <f>'Marketing SoA'!E24</f>
        <v>83.7</v>
      </c>
      <c r="G27" s="958">
        <f>'Marketing SoA'!F24</f>
        <v>900.93843000000004</v>
      </c>
      <c r="H27" s="898" t="str">
        <f>'Marketing SoA'!G24</f>
        <v>2B3P</v>
      </c>
      <c r="I27" s="898">
        <f>'Marketing SoA'!H24</f>
        <v>2</v>
      </c>
      <c r="J27" s="898" t="str">
        <f>'Marketing SoA'!I24</f>
        <v>-</v>
      </c>
      <c r="K27" s="898" t="str">
        <f>'Marketing SoA'!J24</f>
        <v>On-site within MSCP</v>
      </c>
      <c r="L27" s="898" t="str">
        <f>'Marketing SoA'!K24</f>
        <v>Roof Terrace</v>
      </c>
      <c r="M27" s="903">
        <f>'Marketing SoA'!L24</f>
        <v>65</v>
      </c>
      <c r="O27" s="1191"/>
      <c r="P27" s="1192"/>
      <c r="Q27" s="1192"/>
      <c r="R27" s="1192"/>
      <c r="S27" s="1193"/>
    </row>
    <row r="28" spans="1:28" ht="30" x14ac:dyDescent="0.25">
      <c r="A28" s="1271"/>
      <c r="B28" s="1247"/>
      <c r="C28" s="899">
        <f>'Marketing SoA'!B25</f>
        <v>20</v>
      </c>
      <c r="D28" s="899" t="str">
        <f>'Marketing SoA'!C25</f>
        <v>Duplex Maisonette</v>
      </c>
      <c r="E28" s="899" t="str">
        <f>'Marketing SoA'!D25</f>
        <v>EoT First Floor DM</v>
      </c>
      <c r="F28" s="899">
        <f>'Marketing SoA'!E25</f>
        <v>59.6</v>
      </c>
      <c r="G28" s="959">
        <f>'Marketing SoA'!F25</f>
        <v>641.52844000000005</v>
      </c>
      <c r="H28" s="899" t="str">
        <f>'Marketing SoA'!G25</f>
        <v>1B2P</v>
      </c>
      <c r="I28" s="899">
        <f>'Marketing SoA'!H25</f>
        <v>2</v>
      </c>
      <c r="J28" s="899" t="str">
        <f>'Marketing SoA'!I25</f>
        <v>-</v>
      </c>
      <c r="K28" s="899" t="str">
        <f>'Marketing SoA'!J25</f>
        <v>On-site within MSCP</v>
      </c>
      <c r="L28" s="899" t="str">
        <f>'Marketing SoA'!K25</f>
        <v>Roof Terrace</v>
      </c>
      <c r="M28" s="904">
        <f>'Marketing SoA'!L25</f>
        <v>87</v>
      </c>
      <c r="O28" s="1191"/>
      <c r="P28" s="1192"/>
      <c r="Q28" s="1192"/>
      <c r="R28" s="1192"/>
      <c r="S28" s="1193"/>
    </row>
    <row r="29" spans="1:28" x14ac:dyDescent="0.25">
      <c r="A29" s="1239" t="s">
        <v>617</v>
      </c>
      <c r="B29" s="1240" t="s">
        <v>619</v>
      </c>
      <c r="C29" s="1217" t="s">
        <v>618</v>
      </c>
      <c r="D29" s="1218"/>
      <c r="E29" s="1218"/>
      <c r="F29" s="1218"/>
      <c r="G29" s="1218"/>
      <c r="H29" s="1218"/>
      <c r="I29" s="1218"/>
      <c r="J29" s="1218"/>
      <c r="K29" s="1218"/>
      <c r="L29" s="1218"/>
      <c r="M29" s="1219"/>
      <c r="O29" s="1191"/>
      <c r="P29" s="1192"/>
      <c r="Q29" s="1192"/>
      <c r="R29" s="1192"/>
      <c r="S29" s="1193"/>
    </row>
    <row r="30" spans="1:28" x14ac:dyDescent="0.25">
      <c r="A30" s="1239"/>
      <c r="B30" s="1240"/>
      <c r="C30" s="1217"/>
      <c r="D30" s="1218"/>
      <c r="E30" s="1218"/>
      <c r="F30" s="1218"/>
      <c r="G30" s="1218"/>
      <c r="H30" s="1218"/>
      <c r="I30" s="1218"/>
      <c r="J30" s="1218"/>
      <c r="K30" s="1218"/>
      <c r="L30" s="1218"/>
      <c r="M30" s="1219"/>
      <c r="O30" s="1191"/>
      <c r="P30" s="1192"/>
      <c r="Q30" s="1192"/>
      <c r="R30" s="1192"/>
      <c r="S30" s="1193"/>
    </row>
    <row r="31" spans="1:28" ht="15.75" thickBot="1" x14ac:dyDescent="0.3">
      <c r="A31" s="1239"/>
      <c r="B31" s="1241"/>
      <c r="C31" s="1220"/>
      <c r="D31" s="1221"/>
      <c r="E31" s="1221"/>
      <c r="F31" s="1221"/>
      <c r="G31" s="1221"/>
      <c r="H31" s="1221"/>
      <c r="I31" s="1221"/>
      <c r="J31" s="1221"/>
      <c r="K31" s="1221"/>
      <c r="L31" s="1221"/>
      <c r="M31" s="1222"/>
      <c r="O31" s="1194"/>
      <c r="P31" s="1195"/>
      <c r="Q31" s="1195"/>
      <c r="R31" s="1195"/>
      <c r="S31" s="1196"/>
    </row>
    <row r="32" spans="1:28" ht="30" customHeight="1" thickBot="1" x14ac:dyDescent="0.3">
      <c r="A32" s="1272" t="s">
        <v>612</v>
      </c>
      <c r="B32" s="1236" t="s">
        <v>339</v>
      </c>
      <c r="C32" s="905">
        <f>'Marketing SoA'!B26</f>
        <v>21</v>
      </c>
      <c r="D32" s="905" t="str">
        <f>'Marketing SoA'!C26</f>
        <v>House</v>
      </c>
      <c r="E32" s="905" t="str">
        <f>'Marketing SoA'!D26</f>
        <v>Semi-Detached House</v>
      </c>
      <c r="F32" s="905">
        <f>'Marketing SoA'!E26</f>
        <v>83.6</v>
      </c>
      <c r="G32" s="943">
        <f>'Marketing SoA'!F26</f>
        <v>899.86203999999987</v>
      </c>
      <c r="H32" s="905" t="str">
        <f>'Marketing SoA'!G26</f>
        <v>2B3P</v>
      </c>
      <c r="I32" s="905">
        <f>'Marketing SoA'!H26</f>
        <v>3</v>
      </c>
      <c r="J32" s="905" t="str">
        <f>'Marketing SoA'!I26</f>
        <v>Y</v>
      </c>
      <c r="K32" s="905" t="str">
        <f>'Marketing SoA'!J26</f>
        <v>On-site within MSCP</v>
      </c>
      <c r="L32" s="905" t="str">
        <f>'Marketing SoA'!K26</f>
        <v>Roof Terrace</v>
      </c>
      <c r="M32" s="906">
        <f>'Marketing SoA'!L26</f>
        <v>243</v>
      </c>
      <c r="O32" s="1208" t="s">
        <v>612</v>
      </c>
      <c r="P32" s="1199" t="s">
        <v>12</v>
      </c>
      <c r="Q32" s="1200"/>
      <c r="R32" s="1203">
        <v>47</v>
      </c>
      <c r="S32" s="1197">
        <f t="shared" ref="S32" si="1">SUM(R32*10.7639)</f>
        <v>505.9033</v>
      </c>
      <c r="U32" s="1157" t="s">
        <v>612</v>
      </c>
      <c r="V32" s="1136" t="s">
        <v>628</v>
      </c>
      <c r="W32" s="1137"/>
      <c r="X32" s="1137"/>
      <c r="Y32" s="1137"/>
      <c r="Z32" s="1137"/>
      <c r="AA32" s="1137"/>
      <c r="AB32" s="1138"/>
    </row>
    <row r="33" spans="1:28" ht="30" customHeight="1" x14ac:dyDescent="0.25">
      <c r="A33" s="1272"/>
      <c r="B33" s="1237"/>
      <c r="C33" s="905">
        <f>'Marketing SoA'!B27</f>
        <v>22</v>
      </c>
      <c r="D33" s="905" t="str">
        <f>'Marketing SoA'!C27</f>
        <v>House</v>
      </c>
      <c r="E33" s="905" t="str">
        <f>'Marketing SoA'!D27</f>
        <v>Semi-Detached House</v>
      </c>
      <c r="F33" s="905">
        <f>'Marketing SoA'!E27</f>
        <v>83.6</v>
      </c>
      <c r="G33" s="943">
        <f>'Marketing SoA'!F27</f>
        <v>899.86203999999987</v>
      </c>
      <c r="H33" s="905" t="str">
        <f>'Marketing SoA'!G27</f>
        <v>2B3P</v>
      </c>
      <c r="I33" s="905">
        <f>'Marketing SoA'!H27</f>
        <v>3</v>
      </c>
      <c r="J33" s="905" t="str">
        <f>'Marketing SoA'!I27</f>
        <v>Y</v>
      </c>
      <c r="K33" s="905" t="str">
        <f>'Marketing SoA'!J27</f>
        <v>On-site within MSCP</v>
      </c>
      <c r="L33" s="905" t="str">
        <f>'Marketing SoA'!K27</f>
        <v>Roof Terrace</v>
      </c>
      <c r="M33" s="906">
        <f>'Marketing SoA'!L27</f>
        <v>246</v>
      </c>
      <c r="O33" s="1209"/>
      <c r="P33" s="1201"/>
      <c r="Q33" s="1202"/>
      <c r="R33" s="1204"/>
      <c r="S33" s="1198"/>
      <c r="U33" s="1157"/>
      <c r="V33" s="165"/>
      <c r="W33" s="791" t="s">
        <v>60</v>
      </c>
      <c r="X33" s="385" t="s">
        <v>192</v>
      </c>
      <c r="Y33" s="792" t="s">
        <v>78</v>
      </c>
      <c r="Z33" s="793" t="s">
        <v>55</v>
      </c>
      <c r="AA33" s="162" t="s">
        <v>56</v>
      </c>
      <c r="AB33" s="655" t="s">
        <v>52</v>
      </c>
    </row>
    <row r="34" spans="1:28" ht="45" x14ac:dyDescent="0.25">
      <c r="A34" s="1272"/>
      <c r="B34" s="1237"/>
      <c r="C34" s="905">
        <f>'Marketing SoA'!B28</f>
        <v>23</v>
      </c>
      <c r="D34" s="905" t="str">
        <f>'Marketing SoA'!C28</f>
        <v>House</v>
      </c>
      <c r="E34" s="905" t="str">
        <f>'Marketing SoA'!D28</f>
        <v>MT House</v>
      </c>
      <c r="F34" s="905">
        <f>'Marketing SoA'!E28</f>
        <v>87.2</v>
      </c>
      <c r="G34" s="943">
        <f>'Marketing SoA'!F28</f>
        <v>938.61207999999999</v>
      </c>
      <c r="H34" s="905" t="str">
        <f>'Marketing SoA'!G28</f>
        <v>3B5P</v>
      </c>
      <c r="I34" s="905">
        <f>'Marketing SoA'!H28</f>
        <v>2</v>
      </c>
      <c r="J34" s="905" t="str">
        <f>'Marketing SoA'!I28</f>
        <v>-</v>
      </c>
      <c r="K34" s="905" t="str">
        <f>'Marketing SoA'!J28</f>
        <v>On-plot Allocated Parking</v>
      </c>
      <c r="L34" s="905" t="str">
        <f>'Marketing SoA'!K28</f>
        <v>Private Front Garden</v>
      </c>
      <c r="M34" s="906">
        <f>'Marketing SoA'!L28</f>
        <v>140</v>
      </c>
      <c r="O34" s="1209"/>
      <c r="P34" s="1199" t="s">
        <v>13</v>
      </c>
      <c r="Q34" s="1200"/>
      <c r="R34" s="1203">
        <v>47</v>
      </c>
      <c r="S34" s="1197">
        <f>SUM(R34*10.7639)</f>
        <v>505.9033</v>
      </c>
      <c r="U34" s="1157"/>
      <c r="V34" s="155" t="s">
        <v>28</v>
      </c>
      <c r="W34" s="781">
        <f>COUNTIFS('Plot By Plot SoA'!$E$27:$E$50,"Y",'Plot By Plot SoA'!$K$27:$K$50,"Y")</f>
        <v>0</v>
      </c>
      <c r="X34" s="789">
        <f>COUNTIFS('Plot By Plot SoA'!$F$27:$F$50,"Y",'Plot By Plot SoA'!$K$27:$K$50,"Y")</f>
        <v>0</v>
      </c>
      <c r="Y34" s="786">
        <f>COUNTIFS('Plot By Plot SoA'!$G$27:$G$50,"Y",'Plot By Plot SoA'!$K$27:$K$50,"Y")</f>
        <v>1</v>
      </c>
      <c r="Z34" s="786">
        <f>COUNTIFS('Plot By Plot SoA'!$H$27:$H$50,"Y",'Plot By Plot SoA'!$K$27:$K$50,"Y")</f>
        <v>0</v>
      </c>
      <c r="AA34" s="780">
        <f>COUNTIFS('Plot By Plot SoA'!$I$27:$I$50,"Y",'Plot By Plot SoA'!$K$27:$K$50,"Y")</f>
        <v>0</v>
      </c>
      <c r="AB34" s="471">
        <f>SUM(W34:AA34)</f>
        <v>1</v>
      </c>
    </row>
    <row r="35" spans="1:28" ht="45.75" customHeight="1" x14ac:dyDescent="0.25">
      <c r="A35" s="1272"/>
      <c r="B35" s="1237"/>
      <c r="C35" s="905">
        <f>'Marketing SoA'!B29</f>
        <v>24</v>
      </c>
      <c r="D35" s="905" t="str">
        <f>'Marketing SoA'!C29</f>
        <v>House</v>
      </c>
      <c r="E35" s="905" t="str">
        <f>'Marketing SoA'!D29</f>
        <v>MT House</v>
      </c>
      <c r="F35" s="905">
        <f>'Marketing SoA'!E29</f>
        <v>159</v>
      </c>
      <c r="G35" s="943">
        <f>'Marketing SoA'!F29</f>
        <v>1711.4601</v>
      </c>
      <c r="H35" s="905" t="str">
        <f>'Marketing SoA'!G29</f>
        <v>4B6P</v>
      </c>
      <c r="I35" s="905">
        <f>'Marketing SoA'!H29</f>
        <v>3</v>
      </c>
      <c r="J35" s="905" t="str">
        <f>'Marketing SoA'!I29</f>
        <v>Y</v>
      </c>
      <c r="K35" s="905" t="str">
        <f>'Marketing SoA'!J29</f>
        <v>On-plot Allocated Parking</v>
      </c>
      <c r="L35" s="905" t="str">
        <f>'Marketing SoA'!K29</f>
        <v>Roof Terrace</v>
      </c>
      <c r="M35" s="906">
        <f>'Marketing SoA'!L29</f>
        <v>686</v>
      </c>
      <c r="O35" s="1210"/>
      <c r="P35" s="1201"/>
      <c r="Q35" s="1202"/>
      <c r="R35" s="1204"/>
      <c r="S35" s="1198"/>
      <c r="U35" s="1157"/>
      <c r="V35" s="155" t="s">
        <v>29</v>
      </c>
      <c r="W35" s="782">
        <f>COUNTIFS('Plot By Plot SoA'!$E$27:$E$50,"Y",'Plot By Plot SoA'!$L$27:$L$50,"Y")</f>
        <v>5</v>
      </c>
      <c r="X35" s="198">
        <f>COUNTIFS('Plot By Plot SoA'!$F$27:$F$50,"Y",'Plot By Plot SoA'!$L$27:$L$50,"Y")</f>
        <v>0</v>
      </c>
      <c r="Y35" s="770">
        <f>COUNTIFS('Plot By Plot SoA'!$G$27:$G$50,"Y",'Plot By Plot SoA'!$L$27:$L$50,"Y")</f>
        <v>3</v>
      </c>
      <c r="Z35" s="770">
        <f>COUNTIFS('Plot By Plot SoA'!$H$27:$H$50,"Y",'Plot By Plot SoA'!$L$27:$L$50,"Y")</f>
        <v>0</v>
      </c>
      <c r="AA35" s="779">
        <f>COUNTIFS('Plot By Plot SoA'!$I$27:$I$50,"Y",'Plot By Plot SoA'!$L$27:$L$50,"Y")</f>
        <v>0</v>
      </c>
      <c r="AB35" s="805">
        <f>SUM(W35:AA35)</f>
        <v>8</v>
      </c>
    </row>
    <row r="36" spans="1:28" ht="30" x14ac:dyDescent="0.25">
      <c r="A36" s="1272"/>
      <c r="B36" s="1238"/>
      <c r="C36" s="905">
        <f>'Marketing SoA'!B30</f>
        <v>25</v>
      </c>
      <c r="D36" s="905" t="str">
        <f>'Marketing SoA'!C30</f>
        <v>House</v>
      </c>
      <c r="E36" s="905" t="str">
        <f>'Marketing SoA'!D30</f>
        <v>MT House</v>
      </c>
      <c r="F36" s="905">
        <f>'Marketing SoA'!E30</f>
        <v>71.5</v>
      </c>
      <c r="G36" s="943">
        <f>'Marketing SoA'!F30</f>
        <v>769.61884999999995</v>
      </c>
      <c r="H36" s="905" t="str">
        <f>'Marketing SoA'!G30</f>
        <v>2B3P</v>
      </c>
      <c r="I36" s="905">
        <f>'Marketing SoA'!H30</f>
        <v>2</v>
      </c>
      <c r="J36" s="905" t="str">
        <f>'Marketing SoA'!I30</f>
        <v>-</v>
      </c>
      <c r="K36" s="905" t="str">
        <f>'Marketing SoA'!J30</f>
        <v>On-site within MSCP</v>
      </c>
      <c r="L36" s="905" t="str">
        <f>'Marketing SoA'!K30</f>
        <v>Community Amenity</v>
      </c>
      <c r="M36" s="906" t="str">
        <f>'Marketing SoA'!L30</f>
        <v>-</v>
      </c>
      <c r="O36" s="1188"/>
      <c r="P36" s="1189"/>
      <c r="Q36" s="1189"/>
      <c r="R36" s="1189"/>
      <c r="S36" s="1190"/>
      <c r="U36" s="1157"/>
      <c r="V36" s="155" t="s">
        <v>30</v>
      </c>
      <c r="W36" s="784">
        <f>COUNTIFS('Plot By Plot SoA'!$E$27:$E$50,"Y",'Plot By Plot SoA'!$M$27:$M$50,"Y")</f>
        <v>8</v>
      </c>
      <c r="X36" s="180">
        <f>COUNTIFS('Plot By Plot SoA'!$F$27:$F$50,"Y",'Plot By Plot SoA'!$M$27:$M$50,"Y")</f>
        <v>0</v>
      </c>
      <c r="Y36" s="787">
        <f>COUNTIFS('Plot By Plot SoA'!$G$27:$G$50,"Y",'Plot By Plot SoA'!$M$27:$M$50,"Y")</f>
        <v>3</v>
      </c>
      <c r="Z36" s="787">
        <f>COUNTIFS('Plot By Plot SoA'!$H$27:$H$50,"Y",'Plot By Plot SoA'!$M$27:$M$50,"Y")</f>
        <v>0</v>
      </c>
      <c r="AA36" s="785">
        <f>COUNTIFS('Plot By Plot SoA'!$I$27:$I$50,"Y",'Plot By Plot SoA'!$M$27:$M$50,"Y")</f>
        <v>0</v>
      </c>
      <c r="AB36" s="805">
        <f>SUM(W36:AA36)</f>
        <v>11</v>
      </c>
    </row>
    <row r="37" spans="1:28" ht="30" customHeight="1" thickBot="1" x14ac:dyDescent="0.3">
      <c r="A37" s="1272"/>
      <c r="B37" s="1277" t="s">
        <v>20</v>
      </c>
      <c r="C37" s="905">
        <f>'Marketing SoA'!B31</f>
        <v>26</v>
      </c>
      <c r="D37" s="905" t="str">
        <f>'Marketing SoA'!C31</f>
        <v>Duplex Maisonette</v>
      </c>
      <c r="E37" s="905" t="str">
        <f>'Marketing SoA'!D31</f>
        <v>MT FF DM</v>
      </c>
      <c r="F37" s="905">
        <f>'Marketing SoA'!E31</f>
        <v>77.599999999999994</v>
      </c>
      <c r="G37" s="943">
        <f>'Marketing SoA'!F31</f>
        <v>835.27863999999988</v>
      </c>
      <c r="H37" s="905" t="str">
        <f>'Marketing SoA'!G31</f>
        <v>2B3P</v>
      </c>
      <c r="I37" s="905">
        <f>'Marketing SoA'!H31</f>
        <v>2</v>
      </c>
      <c r="J37" s="905" t="str">
        <f>'Marketing SoA'!I31</f>
        <v>-</v>
      </c>
      <c r="K37" s="905" t="str">
        <f>'Marketing SoA'!J31</f>
        <v>On-site within MSCP</v>
      </c>
      <c r="L37" s="905" t="str">
        <f>'Marketing SoA'!K31</f>
        <v>Roof Terrace</v>
      </c>
      <c r="M37" s="906">
        <f>'Marketing SoA'!L31</f>
        <v>89</v>
      </c>
      <c r="O37" s="1191"/>
      <c r="P37" s="1192"/>
      <c r="Q37" s="1192"/>
      <c r="R37" s="1192"/>
      <c r="S37" s="1193"/>
      <c r="U37" s="1157"/>
      <c r="V37" s="165" t="s">
        <v>62</v>
      </c>
      <c r="W37" s="783">
        <f>COUNTIFS('Plot By Plot SoA'!$E$27:$E$50,"Y",'Plot By Plot SoA'!$N$27:$N$50,"Y")</f>
        <v>2</v>
      </c>
      <c r="X37" s="790">
        <f>COUNTIFS('Plot By Plot SoA'!$F$27:$F$50,"Y",'Plot By Plot SoA'!$N$27:$N$50,"Y")</f>
        <v>0</v>
      </c>
      <c r="Y37" s="788">
        <f>COUNTIFS('Plot By Plot SoA'!$G$27:$G$50,"Y",'Plot By Plot SoA'!$N$27:$N$50,"Y")</f>
        <v>0</v>
      </c>
      <c r="Z37" s="788">
        <f>COUNTIFS('Plot By Plot SoA'!$H$27:$H$50,"Y",'Plot By Plot SoA'!$N$27:$N$50,"Y")</f>
        <v>0</v>
      </c>
      <c r="AA37" s="162">
        <f>COUNTIFS('Plot By Plot SoA'!$I$27:$I$50,"Y",'Plot By Plot SoA'!$N$27:$N$50,"Y")</f>
        <v>0</v>
      </c>
      <c r="AB37" s="656">
        <f>SUM(W37:AA37)</f>
        <v>2</v>
      </c>
    </row>
    <row r="38" spans="1:28" ht="30.75" thickBot="1" x14ac:dyDescent="0.3">
      <c r="A38" s="1272"/>
      <c r="B38" s="1278"/>
      <c r="C38" s="905">
        <f>'Marketing SoA'!B32</f>
        <v>27</v>
      </c>
      <c r="D38" s="905" t="str">
        <f>'Marketing SoA'!C32</f>
        <v>Duplex Maisonette</v>
      </c>
      <c r="E38" s="905" t="str">
        <f>'Marketing SoA'!D32</f>
        <v>MT FF DM</v>
      </c>
      <c r="F38" s="905">
        <f>'Marketing SoA'!E32</f>
        <v>77.2</v>
      </c>
      <c r="G38" s="943">
        <f>'Marketing SoA'!F32</f>
        <v>830.97307999999998</v>
      </c>
      <c r="H38" s="905" t="str">
        <f>'Marketing SoA'!G32</f>
        <v>2B3P</v>
      </c>
      <c r="I38" s="905">
        <f>'Marketing SoA'!H32</f>
        <v>2</v>
      </c>
      <c r="J38" s="905" t="str">
        <f>'Marketing SoA'!I32</f>
        <v>-</v>
      </c>
      <c r="K38" s="905" t="str">
        <f>'Marketing SoA'!J32</f>
        <v>On-site within MSCP</v>
      </c>
      <c r="L38" s="905" t="str">
        <f>'Marketing SoA'!K32</f>
        <v>Roof Terrace</v>
      </c>
      <c r="M38" s="906">
        <f>'Marketing SoA'!L32</f>
        <v>89</v>
      </c>
      <c r="O38" s="1191"/>
      <c r="P38" s="1192"/>
      <c r="Q38" s="1192"/>
      <c r="R38" s="1192"/>
      <c r="S38" s="1193"/>
      <c r="U38" s="1157"/>
      <c r="V38" s="648" t="s">
        <v>52</v>
      </c>
      <c r="W38" s="480">
        <f>SUM(W34:W37)</f>
        <v>15</v>
      </c>
      <c r="X38" s="649">
        <f>SUM(X35:X37)</f>
        <v>0</v>
      </c>
      <c r="Y38" s="480">
        <f>SUM(Y34:Y37)</f>
        <v>7</v>
      </c>
      <c r="Z38" s="480">
        <f>SUM(Z34:Z37)</f>
        <v>0</v>
      </c>
      <c r="AA38" s="480">
        <f>SUM(AA34:AA37)</f>
        <v>0</v>
      </c>
      <c r="AB38" s="891">
        <f>SUM(W38:AA38)</f>
        <v>22</v>
      </c>
    </row>
    <row r="39" spans="1:28" ht="30.75" thickBot="1" x14ac:dyDescent="0.3">
      <c r="A39" s="1272"/>
      <c r="B39" s="1278"/>
      <c r="C39" s="905">
        <f>'Marketing SoA'!B33</f>
        <v>28</v>
      </c>
      <c r="D39" s="905" t="str">
        <f>'Marketing SoA'!C33</f>
        <v>House</v>
      </c>
      <c r="E39" s="905" t="str">
        <f>'Marketing SoA'!D33</f>
        <v>EoT House</v>
      </c>
      <c r="F39" s="905">
        <f>'Marketing SoA'!E33</f>
        <v>97.1</v>
      </c>
      <c r="G39" s="943">
        <f>'Marketing SoA'!F33</f>
        <v>1045.1746899999998</v>
      </c>
      <c r="H39" s="905" t="str">
        <f>'Marketing SoA'!G33</f>
        <v>3B5P</v>
      </c>
      <c r="I39" s="905">
        <f>'Marketing SoA'!H33</f>
        <v>2</v>
      </c>
      <c r="J39" s="905" t="str">
        <f>'Marketing SoA'!I33</f>
        <v>-</v>
      </c>
      <c r="K39" s="905" t="str">
        <f>'Marketing SoA'!J33</f>
        <v>On-site within MSCP</v>
      </c>
      <c r="L39" s="905" t="str">
        <f>'Marketing SoA'!K33</f>
        <v>Community Amenity</v>
      </c>
      <c r="M39" s="906" t="str">
        <f>'Marketing SoA'!L33</f>
        <v>-</v>
      </c>
      <c r="O39" s="1191"/>
      <c r="P39" s="1192"/>
      <c r="Q39" s="1192"/>
      <c r="R39" s="1192"/>
      <c r="S39" s="1193"/>
      <c r="U39" s="1157"/>
    </row>
    <row r="40" spans="1:28" ht="45" x14ac:dyDescent="0.25">
      <c r="A40" s="1272"/>
      <c r="B40" s="1278"/>
      <c r="C40" s="905">
        <f>'Marketing SoA'!B34</f>
        <v>29</v>
      </c>
      <c r="D40" s="905" t="str">
        <f>'Marketing SoA'!C34</f>
        <v>House</v>
      </c>
      <c r="E40" s="905" t="str">
        <f>'Marketing SoA'!D34</f>
        <v>MT House</v>
      </c>
      <c r="F40" s="905">
        <f>'Marketing SoA'!E34</f>
        <v>94.7</v>
      </c>
      <c r="G40" s="943">
        <f>'Marketing SoA'!F34</f>
        <v>1019.34133</v>
      </c>
      <c r="H40" s="905" t="str">
        <f>'Marketing SoA'!G34</f>
        <v>3B4P</v>
      </c>
      <c r="I40" s="905">
        <f>'Marketing SoA'!H34</f>
        <v>3</v>
      </c>
      <c r="J40" s="905" t="str">
        <f>'Marketing SoA'!I34</f>
        <v>-</v>
      </c>
      <c r="K40" s="905" t="str">
        <f>'Marketing SoA'!J34</f>
        <v>On-plot Allocated Parking</v>
      </c>
      <c r="L40" s="905" t="str">
        <f>'Marketing SoA'!K34</f>
        <v>Roof Terrace</v>
      </c>
      <c r="M40" s="906">
        <f>'Marketing SoA'!L34</f>
        <v>140</v>
      </c>
      <c r="O40" s="1191"/>
      <c r="P40" s="1192"/>
      <c r="Q40" s="1192"/>
      <c r="R40" s="1192"/>
      <c r="S40" s="1193"/>
      <c r="U40" s="1157"/>
      <c r="V40" s="1139" t="s">
        <v>413</v>
      </c>
      <c r="W40" s="1140"/>
      <c r="X40" s="1140"/>
      <c r="Y40" s="1140"/>
      <c r="Z40" s="1140"/>
      <c r="AA40" s="1141"/>
    </row>
    <row r="41" spans="1:28" ht="45" x14ac:dyDescent="0.35">
      <c r="A41" s="1272"/>
      <c r="B41" s="1278"/>
      <c r="C41" s="905">
        <f>'Marketing SoA'!B35</f>
        <v>30</v>
      </c>
      <c r="D41" s="905" t="str">
        <f>'Marketing SoA'!C35</f>
        <v>House</v>
      </c>
      <c r="E41" s="905" t="str">
        <f>'Marketing SoA'!D35</f>
        <v>MT House</v>
      </c>
      <c r="F41" s="905">
        <f>'Marketing SoA'!E35</f>
        <v>94.3</v>
      </c>
      <c r="G41" s="943">
        <f>'Marketing SoA'!F35</f>
        <v>1015.03577</v>
      </c>
      <c r="H41" s="905" t="str">
        <f>'Marketing SoA'!G35</f>
        <v>3B4P</v>
      </c>
      <c r="I41" s="905">
        <f>'Marketing SoA'!H35</f>
        <v>3</v>
      </c>
      <c r="J41" s="905" t="str">
        <f>'Marketing SoA'!I35</f>
        <v>-</v>
      </c>
      <c r="K41" s="905" t="str">
        <f>'Marketing SoA'!J35</f>
        <v>On-plot Allocated Parking</v>
      </c>
      <c r="L41" s="905" t="str">
        <f>'Marketing SoA'!K35</f>
        <v>Roof Terrace</v>
      </c>
      <c r="M41" s="906">
        <f>'Marketing SoA'!L35</f>
        <v>144</v>
      </c>
      <c r="O41" s="1191"/>
      <c r="P41" s="1192"/>
      <c r="Q41" s="1192"/>
      <c r="R41" s="1192"/>
      <c r="S41" s="1193"/>
      <c r="U41" s="1157"/>
      <c r="V41" s="1142"/>
      <c r="W41" s="1143"/>
      <c r="X41" s="1143"/>
      <c r="Y41" s="1144"/>
      <c r="Z41" s="644" t="s">
        <v>243</v>
      </c>
      <c r="AA41" s="645" t="s">
        <v>242</v>
      </c>
    </row>
    <row r="42" spans="1:28" ht="30" x14ac:dyDescent="0.25">
      <c r="A42" s="1272"/>
      <c r="B42" s="1278"/>
      <c r="C42" s="905">
        <f>'Marketing SoA'!B36</f>
        <v>31</v>
      </c>
      <c r="D42" s="905" t="str">
        <f>'Marketing SoA'!C36</f>
        <v>Duplex Maisonette</v>
      </c>
      <c r="E42" s="905" t="str">
        <f>'Marketing SoA'!D36</f>
        <v>EoT GF DM</v>
      </c>
      <c r="F42" s="905">
        <f>'Marketing SoA'!E36</f>
        <v>107.5</v>
      </c>
      <c r="G42" s="943">
        <f>'Marketing SoA'!F36</f>
        <v>1157.11925</v>
      </c>
      <c r="H42" s="905" t="str">
        <f>'Marketing SoA'!G36</f>
        <v>3B5P</v>
      </c>
      <c r="I42" s="905">
        <f>'Marketing SoA'!H36</f>
        <v>3</v>
      </c>
      <c r="J42" s="905" t="str">
        <f>'Marketing SoA'!I36</f>
        <v>-</v>
      </c>
      <c r="K42" s="905" t="str">
        <f>'Marketing SoA'!J36</f>
        <v>On-site within MSCP</v>
      </c>
      <c r="L42" s="905" t="str">
        <f>'Marketing SoA'!K36</f>
        <v>Balcony</v>
      </c>
      <c r="M42" s="906">
        <f>'Marketing SoA'!L36</f>
        <v>76</v>
      </c>
      <c r="O42" s="1191"/>
      <c r="P42" s="1192"/>
      <c r="Q42" s="1192"/>
      <c r="R42" s="1192"/>
      <c r="S42" s="1193"/>
      <c r="U42" s="1157"/>
      <c r="V42" s="1145" t="s">
        <v>629</v>
      </c>
      <c r="W42" s="1146"/>
      <c r="X42" s="1146"/>
      <c r="Y42" s="1147"/>
      <c r="Z42" s="776">
        <f>SUM(F32:F53)</f>
        <v>2028.7</v>
      </c>
      <c r="AA42" s="890">
        <f>SUM(Z42*10.764)</f>
        <v>21836.926799999997</v>
      </c>
    </row>
    <row r="43" spans="1:28" ht="45.75" thickBot="1" x14ac:dyDescent="0.3">
      <c r="A43" s="1272"/>
      <c r="B43" s="1278"/>
      <c r="C43" s="905">
        <f>'Marketing SoA'!B37</f>
        <v>32</v>
      </c>
      <c r="D43" s="905" t="str">
        <f>'Marketing SoA'!C37</f>
        <v>House</v>
      </c>
      <c r="E43" s="905" t="str">
        <f>'Marketing SoA'!D37</f>
        <v>EoT House</v>
      </c>
      <c r="F43" s="905">
        <f>'Marketing SoA'!E37</f>
        <v>91.7</v>
      </c>
      <c r="G43" s="943">
        <f>'Marketing SoA'!F37</f>
        <v>987.04962999999998</v>
      </c>
      <c r="H43" s="905" t="str">
        <f>'Marketing SoA'!G37</f>
        <v>3B4P</v>
      </c>
      <c r="I43" s="905">
        <f>'Marketing SoA'!H37</f>
        <v>3</v>
      </c>
      <c r="J43" s="905" t="str">
        <f>'Marketing SoA'!I37</f>
        <v>-</v>
      </c>
      <c r="K43" s="905" t="str">
        <f>'Marketing SoA'!J37</f>
        <v>On-plot Allocated Parking</v>
      </c>
      <c r="L43" s="905" t="str">
        <f>'Marketing SoA'!K37</f>
        <v>Private Front Garden</v>
      </c>
      <c r="M43" s="906">
        <f>'Marketing SoA'!L37</f>
        <v>73</v>
      </c>
      <c r="O43" s="1191"/>
      <c r="P43" s="1192"/>
      <c r="Q43" s="1192"/>
      <c r="R43" s="1192"/>
      <c r="S43" s="1193"/>
      <c r="U43" s="1157"/>
      <c r="V43" s="1151" t="s">
        <v>630</v>
      </c>
      <c r="W43" s="1152"/>
      <c r="X43" s="1152"/>
      <c r="Y43" s="1152"/>
      <c r="Z43" s="646">
        <f>SUM(R32:R35)</f>
        <v>94</v>
      </c>
      <c r="AA43" s="777">
        <f>SUM(Z43*10.764)</f>
        <v>1011.8159999999999</v>
      </c>
    </row>
    <row r="44" spans="1:28" ht="30.75" thickBot="1" x14ac:dyDescent="0.3">
      <c r="A44" s="1272"/>
      <c r="B44" s="1278"/>
      <c r="C44" s="905">
        <f>'Marketing SoA'!B38</f>
        <v>33</v>
      </c>
      <c r="D44" s="905" t="str">
        <f>'Marketing SoA'!C38</f>
        <v>House</v>
      </c>
      <c r="E44" s="905" t="str">
        <f>'Marketing SoA'!D38</f>
        <v>MT House</v>
      </c>
      <c r="F44" s="905">
        <f>'Marketing SoA'!E38</f>
        <v>75.3</v>
      </c>
      <c r="G44" s="943">
        <f>'Marketing SoA'!F38</f>
        <v>810.52166999999997</v>
      </c>
      <c r="H44" s="905" t="str">
        <f>'Marketing SoA'!G38</f>
        <v>2B3P</v>
      </c>
      <c r="I44" s="905">
        <f>'Marketing SoA'!H38</f>
        <v>3</v>
      </c>
      <c r="J44" s="905" t="str">
        <f>'Marketing SoA'!I38</f>
        <v>-</v>
      </c>
      <c r="K44" s="905" t="str">
        <f>'Marketing SoA'!J38</f>
        <v>On-site within MSCP</v>
      </c>
      <c r="L44" s="905" t="str">
        <f>'Marketing SoA'!K38</f>
        <v>Private Front Garden</v>
      </c>
      <c r="M44" s="906">
        <f>'Marketing SoA'!L38</f>
        <v>97</v>
      </c>
      <c r="O44" s="1191"/>
      <c r="P44" s="1192"/>
      <c r="Q44" s="1192"/>
      <c r="R44" s="1192"/>
      <c r="S44" s="1193"/>
      <c r="U44" s="1157"/>
      <c r="V44" s="1148" t="s">
        <v>414</v>
      </c>
      <c r="W44" s="1149"/>
      <c r="X44" s="1149"/>
      <c r="Y44" s="1149"/>
      <c r="Z44" s="647">
        <f>SUM(Z42:Z43)</f>
        <v>2122.6999999999998</v>
      </c>
      <c r="AA44" s="650">
        <f>SUM(AA42:AA43)</f>
        <v>22848.742799999996</v>
      </c>
    </row>
    <row r="45" spans="1:28" ht="30" x14ac:dyDescent="0.25">
      <c r="A45" s="1272"/>
      <c r="B45" s="1278"/>
      <c r="C45" s="905">
        <f>'Marketing SoA'!B39</f>
        <v>34</v>
      </c>
      <c r="D45" s="905" t="str">
        <f>'Marketing SoA'!C39</f>
        <v>House</v>
      </c>
      <c r="E45" s="905" t="str">
        <f>'Marketing SoA'!D39</f>
        <v>EoT House</v>
      </c>
      <c r="F45" s="905">
        <f>'Marketing SoA'!E39</f>
        <v>75.3</v>
      </c>
      <c r="G45" s="943">
        <f>'Marketing SoA'!F39</f>
        <v>810.52166999999997</v>
      </c>
      <c r="H45" s="905" t="str">
        <f>'Marketing SoA'!G39</f>
        <v>2B3P</v>
      </c>
      <c r="I45" s="905">
        <f>'Marketing SoA'!H39</f>
        <v>3</v>
      </c>
      <c r="J45" s="905" t="str">
        <f>'Marketing SoA'!I39</f>
        <v>-</v>
      </c>
      <c r="K45" s="905" t="str">
        <f>'Marketing SoA'!J39</f>
        <v>On-site within MSCP</v>
      </c>
      <c r="L45" s="905" t="str">
        <f>'Marketing SoA'!K39</f>
        <v>Frontage Amenity</v>
      </c>
      <c r="M45" s="906">
        <f>'Marketing SoA'!L39</f>
        <v>70</v>
      </c>
      <c r="O45" s="1191"/>
      <c r="P45" s="1192"/>
      <c r="Q45" s="1192"/>
      <c r="R45" s="1192"/>
      <c r="S45" s="1193"/>
    </row>
    <row r="46" spans="1:28" ht="45" x14ac:dyDescent="0.25">
      <c r="A46" s="1272"/>
      <c r="B46" s="1278"/>
      <c r="C46" s="905">
        <f>'Marketing SoA'!B40</f>
        <v>35</v>
      </c>
      <c r="D46" s="905" t="str">
        <f>'Marketing SoA'!C40</f>
        <v>House</v>
      </c>
      <c r="E46" s="905" t="str">
        <f>'Marketing SoA'!D40</f>
        <v>EoT House</v>
      </c>
      <c r="F46" s="905">
        <f>'Marketing SoA'!E40</f>
        <v>128.5</v>
      </c>
      <c r="G46" s="943">
        <f>'Marketing SoA'!F40</f>
        <v>1383.1611499999999</v>
      </c>
      <c r="H46" s="905" t="str">
        <f>'Marketing SoA'!G40</f>
        <v>4B5P</v>
      </c>
      <c r="I46" s="905">
        <f>'Marketing SoA'!H40</f>
        <v>4</v>
      </c>
      <c r="J46" s="905" t="str">
        <f>'Marketing SoA'!I40</f>
        <v>Y</v>
      </c>
      <c r="K46" s="905" t="str">
        <f>'Marketing SoA'!J40</f>
        <v>On-plot Allocated Parking</v>
      </c>
      <c r="L46" s="905" t="str">
        <f>'Marketing SoA'!K40</f>
        <v>Private Front Garden</v>
      </c>
      <c r="M46" s="906">
        <f>'Marketing SoA'!L40</f>
        <v>130</v>
      </c>
      <c r="O46" s="1191"/>
      <c r="P46" s="1192"/>
      <c r="Q46" s="1192"/>
      <c r="R46" s="1192"/>
      <c r="S46" s="1193"/>
    </row>
    <row r="47" spans="1:28" ht="45" x14ac:dyDescent="0.25">
      <c r="A47" s="1272"/>
      <c r="B47" s="1278"/>
      <c r="C47" s="905">
        <f>'Marketing SoA'!B41</f>
        <v>36</v>
      </c>
      <c r="D47" s="905" t="str">
        <f>'Marketing SoA'!C41</f>
        <v>House</v>
      </c>
      <c r="E47" s="905" t="str">
        <f>'Marketing SoA'!D41</f>
        <v>EoT House</v>
      </c>
      <c r="F47" s="905">
        <f>'Marketing SoA'!E41</f>
        <v>102.5</v>
      </c>
      <c r="G47" s="943">
        <f>'Marketing SoA'!F41</f>
        <v>1103.2997499999999</v>
      </c>
      <c r="H47" s="905" t="str">
        <f>'Marketing SoA'!G41</f>
        <v>3B4P</v>
      </c>
      <c r="I47" s="905">
        <f>'Marketing SoA'!H41</f>
        <v>3</v>
      </c>
      <c r="J47" s="905" t="str">
        <f>'Marketing SoA'!I41</f>
        <v>Y</v>
      </c>
      <c r="K47" s="905" t="str">
        <f>'Marketing SoA'!J41</f>
        <v>On-plot Allocated Parking</v>
      </c>
      <c r="L47" s="905" t="str">
        <f>'Marketing SoA'!K41</f>
        <v>Shared Garden</v>
      </c>
      <c r="M47" s="906" t="str">
        <f>'Marketing SoA'!L41</f>
        <v>-</v>
      </c>
      <c r="O47" s="1191"/>
      <c r="P47" s="1192"/>
      <c r="Q47" s="1192"/>
      <c r="R47" s="1192"/>
      <c r="S47" s="1193"/>
    </row>
    <row r="48" spans="1:28" ht="45" x14ac:dyDescent="0.25">
      <c r="A48" s="1272"/>
      <c r="B48" s="1278"/>
      <c r="C48" s="905">
        <f>'Marketing SoA'!B42</f>
        <v>37</v>
      </c>
      <c r="D48" s="905" t="str">
        <f>'Marketing SoA'!C42</f>
        <v>House</v>
      </c>
      <c r="E48" s="905" t="str">
        <f>'Marketing SoA'!D42</f>
        <v>MT House</v>
      </c>
      <c r="F48" s="905">
        <f>'Marketing SoA'!E42</f>
        <v>116.7</v>
      </c>
      <c r="G48" s="943">
        <f>'Marketing SoA'!F42</f>
        <v>1256.1471300000001</v>
      </c>
      <c r="H48" s="905" t="str">
        <f>'Marketing SoA'!G42</f>
        <v>3B4P</v>
      </c>
      <c r="I48" s="905">
        <f>'Marketing SoA'!H42</f>
        <v>3</v>
      </c>
      <c r="J48" s="905" t="str">
        <f>'Marketing SoA'!I42</f>
        <v>Y</v>
      </c>
      <c r="K48" s="905" t="str">
        <f>'Marketing SoA'!J42</f>
        <v>On-plot Allocated Parking</v>
      </c>
      <c r="L48" s="905" t="str">
        <f>'Marketing SoA'!K42</f>
        <v>Shared Garden</v>
      </c>
      <c r="M48" s="906">
        <f>'Marketing SoA'!L42</f>
        <v>50</v>
      </c>
      <c r="O48" s="1191"/>
      <c r="P48" s="1192"/>
      <c r="Q48" s="1192"/>
      <c r="R48" s="1192"/>
      <c r="S48" s="1193"/>
    </row>
    <row r="49" spans="1:28" ht="30" x14ac:dyDescent="0.25">
      <c r="A49" s="1272"/>
      <c r="B49" s="1278"/>
      <c r="C49" s="905">
        <f>'Marketing SoA'!B43</f>
        <v>38</v>
      </c>
      <c r="D49" s="905" t="str">
        <f>'Marketing SoA'!C43</f>
        <v>Maisonette</v>
      </c>
      <c r="E49" s="905" t="str">
        <f>'Marketing SoA'!D43</f>
        <v>GF M</v>
      </c>
      <c r="F49" s="905">
        <f>'Marketing SoA'!E43</f>
        <v>39</v>
      </c>
      <c r="G49" s="943">
        <f>'Marketing SoA'!F43</f>
        <v>419.7921</v>
      </c>
      <c r="H49" s="905" t="str">
        <f>'Marketing SoA'!G43</f>
        <v>1B2P</v>
      </c>
      <c r="I49" s="905">
        <f>'Marketing SoA'!H43</f>
        <v>1</v>
      </c>
      <c r="J49" s="905" t="str">
        <f>'Marketing SoA'!I43</f>
        <v>-</v>
      </c>
      <c r="K49" s="905" t="str">
        <f>'Marketing SoA'!J43</f>
        <v>On-site within MSCP</v>
      </c>
      <c r="L49" s="905" t="str">
        <f>'Marketing SoA'!K43</f>
        <v>Frontage Amenity</v>
      </c>
      <c r="M49" s="906">
        <f>'Marketing SoA'!L43</f>
        <v>169</v>
      </c>
      <c r="O49" s="1191"/>
      <c r="P49" s="1192"/>
      <c r="Q49" s="1192"/>
      <c r="R49" s="1192"/>
      <c r="S49" s="1193"/>
    </row>
    <row r="50" spans="1:28" ht="30" x14ac:dyDescent="0.25">
      <c r="A50" s="1272"/>
      <c r="B50" s="1278"/>
      <c r="C50" s="905">
        <f>'Marketing SoA'!B44</f>
        <v>39</v>
      </c>
      <c r="D50" s="905" t="str">
        <f>'Marketing SoA'!C44</f>
        <v>Duplex Maisonette</v>
      </c>
      <c r="E50" s="905" t="str">
        <f>'Marketing SoA'!D44</f>
        <v>FF DM</v>
      </c>
      <c r="F50" s="905">
        <f>'Marketing SoA'!E44</f>
        <v>76.8</v>
      </c>
      <c r="G50" s="943">
        <f>'Marketing SoA'!F44</f>
        <v>826.66751999999997</v>
      </c>
      <c r="H50" s="905" t="str">
        <f>'Marketing SoA'!G44</f>
        <v>3B4P</v>
      </c>
      <c r="I50" s="905">
        <f>'Marketing SoA'!H44</f>
        <v>2</v>
      </c>
      <c r="J50" s="905" t="str">
        <f>'Marketing SoA'!I44</f>
        <v>-</v>
      </c>
      <c r="K50" s="905" t="str">
        <f>'Marketing SoA'!J44</f>
        <v>On-site within MSCP</v>
      </c>
      <c r="L50" s="905" t="str">
        <f>'Marketing SoA'!K44</f>
        <v>Roof Terrace</v>
      </c>
      <c r="M50" s="906">
        <f>'Marketing SoA'!L44</f>
        <v>126</v>
      </c>
      <c r="O50" s="1191"/>
      <c r="P50" s="1192"/>
      <c r="Q50" s="1192"/>
      <c r="R50" s="1192"/>
      <c r="S50" s="1193"/>
    </row>
    <row r="51" spans="1:28" ht="30" x14ac:dyDescent="0.25">
      <c r="A51" s="1272"/>
      <c r="B51" s="1278"/>
      <c r="C51" s="905">
        <f>'Marketing SoA'!B45</f>
        <v>40</v>
      </c>
      <c r="D51" s="905" t="str">
        <f>'Marketing SoA'!C45</f>
        <v>House</v>
      </c>
      <c r="E51" s="905" t="str">
        <f>'Marketing SoA'!D45</f>
        <v>MT House</v>
      </c>
      <c r="F51" s="905">
        <f>'Marketing SoA'!E45</f>
        <v>93.9</v>
      </c>
      <c r="G51" s="943">
        <f>'Marketing SoA'!F45</f>
        <v>1010.7302100000001</v>
      </c>
      <c r="H51" s="905" t="str">
        <f>'Marketing SoA'!G45</f>
        <v>3B5P</v>
      </c>
      <c r="I51" s="905">
        <f>'Marketing SoA'!H45</f>
        <v>3</v>
      </c>
      <c r="J51" s="905" t="str">
        <f>'Marketing SoA'!I45</f>
        <v>-</v>
      </c>
      <c r="K51" s="905" t="str">
        <f>'Marketing SoA'!J45</f>
        <v>On-site within MSCP</v>
      </c>
      <c r="L51" s="905" t="str">
        <f>'Marketing SoA'!K45</f>
        <v>Roof Terrace</v>
      </c>
      <c r="M51" s="906">
        <f>'Marketing SoA'!L45</f>
        <v>82</v>
      </c>
      <c r="O51" s="1191"/>
      <c r="P51" s="1192"/>
      <c r="Q51" s="1192"/>
      <c r="R51" s="1192"/>
      <c r="S51" s="1193"/>
    </row>
    <row r="52" spans="1:28" ht="30" x14ac:dyDescent="0.25">
      <c r="A52" s="1272"/>
      <c r="B52" s="1278"/>
      <c r="C52" s="905">
        <f>'Marketing SoA'!B46</f>
        <v>41</v>
      </c>
      <c r="D52" s="905" t="str">
        <f>'Marketing SoA'!C46</f>
        <v>Duplex Maisonette</v>
      </c>
      <c r="E52" s="905" t="str">
        <f>'Marketing SoA'!D46</f>
        <v>MT GF DM</v>
      </c>
      <c r="F52" s="905">
        <f>'Marketing SoA'!E46</f>
        <v>84.1</v>
      </c>
      <c r="G52" s="943">
        <f>'Marketing SoA'!F46</f>
        <v>905.24398999999994</v>
      </c>
      <c r="H52" s="905" t="str">
        <f>'Marketing SoA'!G46</f>
        <v>2B3P</v>
      </c>
      <c r="I52" s="905">
        <f>'Marketing SoA'!H46</f>
        <v>2</v>
      </c>
      <c r="J52" s="905" t="str">
        <f>'Marketing SoA'!I46</f>
        <v>-</v>
      </c>
      <c r="K52" s="905" t="str">
        <f>'Marketing SoA'!J46</f>
        <v>On-site within MSCP</v>
      </c>
      <c r="L52" s="905" t="str">
        <f>'Marketing SoA'!K46</f>
        <v>Roof Terrace</v>
      </c>
      <c r="M52" s="906">
        <f>'Marketing SoA'!L46</f>
        <v>70</v>
      </c>
      <c r="O52" s="1191"/>
      <c r="P52" s="1192"/>
      <c r="Q52" s="1192"/>
      <c r="R52" s="1192"/>
      <c r="S52" s="1193"/>
    </row>
    <row r="53" spans="1:28" ht="30.75" thickBot="1" x14ac:dyDescent="0.3">
      <c r="A53" s="1272"/>
      <c r="B53" s="1279"/>
      <c r="C53" s="905">
        <f>'Marketing SoA'!B47</f>
        <v>42</v>
      </c>
      <c r="D53" s="905" t="str">
        <f>'Marketing SoA'!C47</f>
        <v>Duplex Maisonette</v>
      </c>
      <c r="E53" s="905" t="str">
        <f>'Marketing SoA'!D47</f>
        <v>EoT GF DM</v>
      </c>
      <c r="F53" s="905">
        <f>'Marketing SoA'!E47</f>
        <v>111.6</v>
      </c>
      <c r="G53" s="943">
        <f>'Marketing SoA'!F47</f>
        <v>1201.2512399999998</v>
      </c>
      <c r="H53" s="905" t="str">
        <f>'Marketing SoA'!G47</f>
        <v>2B4P</v>
      </c>
      <c r="I53" s="905">
        <f>'Marketing SoA'!H47</f>
        <v>2</v>
      </c>
      <c r="J53" s="905" t="str">
        <f>'Marketing SoA'!I47</f>
        <v>-</v>
      </c>
      <c r="K53" s="905" t="str">
        <f>'Marketing SoA'!J47</f>
        <v>On-site within MSCP</v>
      </c>
      <c r="L53" s="905" t="str">
        <f>'Marketing SoA'!K47</f>
        <v>Community Amenity</v>
      </c>
      <c r="M53" s="906" t="str">
        <f>'Marketing SoA'!L47</f>
        <v>-</v>
      </c>
      <c r="O53" s="1191"/>
      <c r="P53" s="1192"/>
      <c r="Q53" s="1192"/>
      <c r="R53" s="1192"/>
      <c r="S53" s="1193"/>
    </row>
    <row r="54" spans="1:28" ht="30" customHeight="1" thickBot="1" x14ac:dyDescent="0.3">
      <c r="A54" s="1273" t="s">
        <v>613</v>
      </c>
      <c r="B54" s="1282" t="s">
        <v>21</v>
      </c>
      <c r="C54" s="907">
        <f>'Marketing SoA'!B121</f>
        <v>116</v>
      </c>
      <c r="D54" s="907" t="str">
        <f>'Marketing SoA'!C121</f>
        <v>Duplex Maisonette</v>
      </c>
      <c r="E54" s="907" t="str">
        <f>'Marketing SoA'!D121</f>
        <v>Coach House</v>
      </c>
      <c r="F54" s="907">
        <f>'Marketing SoA'!E121</f>
        <v>87.7</v>
      </c>
      <c r="G54" s="944">
        <f>'Marketing SoA'!F121</f>
        <v>943.99402999999995</v>
      </c>
      <c r="H54" s="907" t="str">
        <f>'Marketing SoA'!G121</f>
        <v>2B4P</v>
      </c>
      <c r="I54" s="907">
        <f>'Marketing SoA'!H121</f>
        <v>2</v>
      </c>
      <c r="J54" s="907" t="str">
        <f>'Marketing SoA'!I121</f>
        <v>-</v>
      </c>
      <c r="K54" s="907" t="str">
        <f>'Marketing SoA'!J121</f>
        <v>On-site within MSCP</v>
      </c>
      <c r="L54" s="907" t="str">
        <f>'Marketing SoA'!K121</f>
        <v>Roof Terrace</v>
      </c>
      <c r="M54" s="908">
        <f>'Marketing SoA'!L121</f>
        <v>168</v>
      </c>
      <c r="O54" s="1191"/>
      <c r="P54" s="1192"/>
      <c r="Q54" s="1192"/>
      <c r="R54" s="1192"/>
      <c r="S54" s="1193"/>
      <c r="U54" s="1158" t="s">
        <v>613</v>
      </c>
      <c r="V54" s="1136" t="s">
        <v>631</v>
      </c>
      <c r="W54" s="1137"/>
      <c r="X54" s="1137"/>
      <c r="Y54" s="1137"/>
      <c r="Z54" s="1137"/>
      <c r="AA54" s="1137"/>
      <c r="AB54" s="1138"/>
    </row>
    <row r="55" spans="1:28" ht="30" customHeight="1" x14ac:dyDescent="0.25">
      <c r="A55" s="1273"/>
      <c r="B55" s="1283"/>
      <c r="C55" s="907">
        <f>'Marketing SoA'!B122</f>
        <v>117</v>
      </c>
      <c r="D55" s="907" t="str">
        <f>'Marketing SoA'!C122</f>
        <v>House</v>
      </c>
      <c r="E55" s="907" t="str">
        <f>'Marketing SoA'!D122</f>
        <v>MT House</v>
      </c>
      <c r="F55" s="907">
        <f>'Marketing SoA'!E122</f>
        <v>83.1</v>
      </c>
      <c r="G55" s="944">
        <f>'Marketing SoA'!F122</f>
        <v>894.4800899999999</v>
      </c>
      <c r="H55" s="907" t="str">
        <f>'Marketing SoA'!G122</f>
        <v>3B4P</v>
      </c>
      <c r="I55" s="907">
        <f>'Marketing SoA'!H122</f>
        <v>3</v>
      </c>
      <c r="J55" s="907" t="str">
        <f>'Marketing SoA'!I122</f>
        <v>-</v>
      </c>
      <c r="K55" s="907" t="str">
        <f>'Marketing SoA'!J122</f>
        <v>Garage Parking space.</v>
      </c>
      <c r="L55" s="907" t="str">
        <f>'Marketing SoA'!K122</f>
        <v>Roof Terrace</v>
      </c>
      <c r="M55" s="908">
        <f>'Marketing SoA'!L122</f>
        <v>150</v>
      </c>
      <c r="O55" s="1191"/>
      <c r="P55" s="1192"/>
      <c r="Q55" s="1192"/>
      <c r="R55" s="1192"/>
      <c r="S55" s="1193"/>
      <c r="U55" s="1158"/>
      <c r="V55" s="165"/>
      <c r="W55" s="791" t="s">
        <v>60</v>
      </c>
      <c r="X55" s="385" t="s">
        <v>192</v>
      </c>
      <c r="Y55" s="792" t="s">
        <v>78</v>
      </c>
      <c r="Z55" s="793" t="s">
        <v>55</v>
      </c>
      <c r="AA55" s="162" t="s">
        <v>56</v>
      </c>
      <c r="AB55" s="655" t="s">
        <v>52</v>
      </c>
    </row>
    <row r="56" spans="1:28" ht="45" x14ac:dyDescent="0.25">
      <c r="A56" s="1273"/>
      <c r="B56" s="1283"/>
      <c r="C56" s="907">
        <f>'Marketing SoA'!B123</f>
        <v>118</v>
      </c>
      <c r="D56" s="907" t="str">
        <f>'Marketing SoA'!C123</f>
        <v>House</v>
      </c>
      <c r="E56" s="907" t="str">
        <f>'Marketing SoA'!D123</f>
        <v>MT House</v>
      </c>
      <c r="F56" s="907">
        <f>'Marketing SoA'!E123</f>
        <v>95</v>
      </c>
      <c r="G56" s="944">
        <f>'Marketing SoA'!F123</f>
        <v>1022.5704999999999</v>
      </c>
      <c r="H56" s="907" t="str">
        <f>'Marketing SoA'!G123</f>
        <v>2B4P</v>
      </c>
      <c r="I56" s="907">
        <f>'Marketing SoA'!H123</f>
        <v>3</v>
      </c>
      <c r="J56" s="907" t="str">
        <f>'Marketing SoA'!I123</f>
        <v>-</v>
      </c>
      <c r="K56" s="907" t="str">
        <f>'Marketing SoA'!J123</f>
        <v>On-plot Allocated Parking</v>
      </c>
      <c r="L56" s="907" t="str">
        <f>'Marketing SoA'!K123</f>
        <v>Community Amenity</v>
      </c>
      <c r="M56" s="908" t="str">
        <f>'Marketing SoA'!L123</f>
        <v>-</v>
      </c>
      <c r="O56" s="1191"/>
      <c r="P56" s="1192"/>
      <c r="Q56" s="1192"/>
      <c r="R56" s="1192"/>
      <c r="S56" s="1193"/>
      <c r="U56" s="1158"/>
      <c r="V56" s="155" t="s">
        <v>28</v>
      </c>
      <c r="W56" s="781">
        <f>COUNTIFS('Plot By Plot SoA'!$E$140:$E$172,"Y",'Plot By Plot SoA'!$K$140:$K$172,"Y")</f>
        <v>0</v>
      </c>
      <c r="X56" s="789">
        <f>COUNTIFS('Plot By Plot SoA'!$F$140:$F$172,"Y",'Plot By Plot SoA'!$K$140:$K$172,"Y")</f>
        <v>0</v>
      </c>
      <c r="Y56" s="786">
        <f>COUNTIFS('Plot By Plot SoA'!$G$140:$G$172,"Y",'Plot By Plot SoA'!$K$140:$K$172,"Y")</f>
        <v>0</v>
      </c>
      <c r="Z56" s="786">
        <f>COUNTIFS('Plot By Plot SoA'!$H$140:$H$172,"Y",'Plot By Plot SoA'!$K$140:$K$172,"Y")</f>
        <v>0</v>
      </c>
      <c r="AA56" s="780">
        <f>COUNTIFS('Plot By Plot SoA'!$I$140:$I$172,"Y",'Plot By Plot SoA'!$K$140:$K$172,"Y")</f>
        <v>0</v>
      </c>
      <c r="AB56" s="471">
        <f>SUM(W56:AA56)</f>
        <v>0</v>
      </c>
    </row>
    <row r="57" spans="1:28" ht="45" x14ac:dyDescent="0.25">
      <c r="A57" s="1273"/>
      <c r="B57" s="1283"/>
      <c r="C57" s="907">
        <f>'Marketing SoA'!B124</f>
        <v>119</v>
      </c>
      <c r="D57" s="907" t="str">
        <f>'Marketing SoA'!C124</f>
        <v>House</v>
      </c>
      <c r="E57" s="907" t="str">
        <f>'Marketing SoA'!D124</f>
        <v>MT House</v>
      </c>
      <c r="F57" s="907">
        <f>'Marketing SoA'!E124</f>
        <v>95</v>
      </c>
      <c r="G57" s="944">
        <f>'Marketing SoA'!F124</f>
        <v>1022.5704999999999</v>
      </c>
      <c r="H57" s="907" t="str">
        <f>'Marketing SoA'!G124</f>
        <v>2B4P</v>
      </c>
      <c r="I57" s="907">
        <f>'Marketing SoA'!H124</f>
        <v>3</v>
      </c>
      <c r="J57" s="907" t="str">
        <f>'Marketing SoA'!I124</f>
        <v>-</v>
      </c>
      <c r="K57" s="907" t="str">
        <f>'Marketing SoA'!J124</f>
        <v>On-plot Allocated Parking</v>
      </c>
      <c r="L57" s="907" t="str">
        <f>'Marketing SoA'!K124</f>
        <v>Community Amenity</v>
      </c>
      <c r="M57" s="908" t="str">
        <f>'Marketing SoA'!L124</f>
        <v>-</v>
      </c>
      <c r="O57" s="1191"/>
      <c r="P57" s="1192"/>
      <c r="Q57" s="1192"/>
      <c r="R57" s="1192"/>
      <c r="S57" s="1193"/>
      <c r="U57" s="1158"/>
      <c r="V57" s="155" t="s">
        <v>29</v>
      </c>
      <c r="W57" s="782">
        <f>COUNTIFS('Plot By Plot SoA'!$E$140:$E$172,"Y",'Plot By Plot SoA'!$L$140:$L$172,"Y")</f>
        <v>14</v>
      </c>
      <c r="X57" s="198">
        <f>COUNTIFS('Plot By Plot SoA'!$F$140:$F$172,"Y",'Plot By Plot SoA'!$L$140:$L$172,"Y")</f>
        <v>2</v>
      </c>
      <c r="Y57" s="770">
        <f>COUNTIFS('Plot By Plot SoA'!$G$140:$G$172,"Y",'Plot By Plot SoA'!$L$140:$L$172,"Y")</f>
        <v>0</v>
      </c>
      <c r="Z57" s="770">
        <f>COUNTIFS('Plot By Plot SoA'!$H$140:$H$172,"Y",'Plot By Plot SoA'!$L$140:$L$172,"Y")</f>
        <v>0</v>
      </c>
      <c r="AA57" s="779">
        <f>COUNTIFS('Plot By Plot SoA'!$I$140:$I$172,"Y",'Plot By Plot SoA'!$L$140:$L$172,"Y")</f>
        <v>0</v>
      </c>
      <c r="AB57" s="805">
        <f>SUM(W57:AA57)</f>
        <v>16</v>
      </c>
    </row>
    <row r="58" spans="1:28" ht="30" customHeight="1" x14ac:dyDescent="0.25">
      <c r="A58" s="1273"/>
      <c r="B58" s="1283"/>
      <c r="C58" s="907">
        <f>'Marketing SoA'!B125</f>
        <v>120</v>
      </c>
      <c r="D58" s="907" t="str">
        <f>'Marketing SoA'!C125</f>
        <v>House</v>
      </c>
      <c r="E58" s="907" t="str">
        <f>'Marketing SoA'!D125</f>
        <v>EoT House</v>
      </c>
      <c r="F58" s="907">
        <f>'Marketing SoA'!E125</f>
        <v>83.1</v>
      </c>
      <c r="G58" s="944">
        <f>'Marketing SoA'!F125</f>
        <v>894.4800899999999</v>
      </c>
      <c r="H58" s="907" t="str">
        <f>'Marketing SoA'!G125</f>
        <v>3B4P</v>
      </c>
      <c r="I58" s="907">
        <f>'Marketing SoA'!H125</f>
        <v>3</v>
      </c>
      <c r="J58" s="907" t="str">
        <f>'Marketing SoA'!I125</f>
        <v>-</v>
      </c>
      <c r="K58" s="907" t="str">
        <f>'Marketing SoA'!J125</f>
        <v>Garage Parking space.</v>
      </c>
      <c r="L58" s="907" t="str">
        <f>'Marketing SoA'!K125</f>
        <v>Roof Terrace</v>
      </c>
      <c r="M58" s="908">
        <f>'Marketing SoA'!L125</f>
        <v>170</v>
      </c>
      <c r="O58" s="1191"/>
      <c r="P58" s="1192"/>
      <c r="Q58" s="1192"/>
      <c r="R58" s="1192"/>
      <c r="S58" s="1193"/>
      <c r="U58" s="1158"/>
      <c r="V58" s="155" t="s">
        <v>30</v>
      </c>
      <c r="W58" s="784">
        <f>COUNTIFS('Plot By Plot SoA'!$E$140:$E$172,"Y",'Plot By Plot SoA'!$M$140:$M$172,"Y")</f>
        <v>9</v>
      </c>
      <c r="X58" s="180">
        <f>COUNTIFS('Plot By Plot SoA'!$F$140:$F$172,"Y",'Plot By Plot SoA'!$M$140:$M$172,"Y")</f>
        <v>0</v>
      </c>
      <c r="Y58" s="787">
        <f>COUNTIFS('Plot By Plot SoA'!$G$140:$G$172,"Y",'Plot By Plot SoA'!$M$140:$M$172,"Y")</f>
        <v>1</v>
      </c>
      <c r="Z58" s="787">
        <f>COUNTIFS('Plot By Plot SoA'!$H$140:$H$172,"Y",'Plot By Plot SoA'!$M$140:$M$172,"Y")</f>
        <v>0</v>
      </c>
      <c r="AA58" s="785">
        <f>COUNTIFS('Plot By Plot SoA'!$I$140:$I$172,"Y",'Plot By Plot SoA'!$M$140:$M$172,"Y")</f>
        <v>0</v>
      </c>
      <c r="AB58" s="805">
        <f>SUM(W58:AA58)</f>
        <v>10</v>
      </c>
    </row>
    <row r="59" spans="1:28" ht="30.75" thickBot="1" x14ac:dyDescent="0.3">
      <c r="A59" s="1273"/>
      <c r="B59" s="1283"/>
      <c r="C59" s="907">
        <f>'Marketing SoA'!B126</f>
        <v>121</v>
      </c>
      <c r="D59" s="907" t="str">
        <f>'Marketing SoA'!C126</f>
        <v>House</v>
      </c>
      <c r="E59" s="907" t="str">
        <f>'Marketing SoA'!D126</f>
        <v>MT House</v>
      </c>
      <c r="F59" s="907">
        <f>'Marketing SoA'!E126</f>
        <v>77.5</v>
      </c>
      <c r="G59" s="944">
        <f>'Marketing SoA'!F126</f>
        <v>834.20224999999994</v>
      </c>
      <c r="H59" s="907" t="str">
        <f>'Marketing SoA'!G126</f>
        <v>2B3P</v>
      </c>
      <c r="I59" s="907">
        <f>'Marketing SoA'!H126</f>
        <v>3</v>
      </c>
      <c r="J59" s="907" t="str">
        <f>'Marketing SoA'!I126</f>
        <v>-</v>
      </c>
      <c r="K59" s="907" t="str">
        <f>'Marketing SoA'!J126</f>
        <v>On-site within MSCP</v>
      </c>
      <c r="L59" s="907" t="str">
        <f>'Marketing SoA'!K126</f>
        <v>Community Amenity</v>
      </c>
      <c r="M59" s="908" t="str">
        <f>'Marketing SoA'!L126</f>
        <v>-</v>
      </c>
      <c r="O59" s="1191"/>
      <c r="P59" s="1192"/>
      <c r="Q59" s="1192"/>
      <c r="R59" s="1192"/>
      <c r="S59" s="1193"/>
      <c r="U59" s="1158"/>
      <c r="V59" s="165" t="s">
        <v>62</v>
      </c>
      <c r="W59" s="783">
        <f>COUNTIFS('Plot By Plot SoA'!$E$140:$E$172,"Y",'Plot By Plot SoA'!$N$140:$N$172,"Y")</f>
        <v>1</v>
      </c>
      <c r="X59" s="790">
        <f>COUNTIFS('Plot By Plot SoA'!$F$140:$F$172,"Y",'Plot By Plot SoA'!$N$140:$N$172,"Y")</f>
        <v>0</v>
      </c>
      <c r="Y59" s="788">
        <f>COUNTIFS('Plot By Plot SoA'!$G$140:$G$172,"Y",'Plot By Plot SoA'!$N$140:$N$172,"Y")</f>
        <v>0</v>
      </c>
      <c r="Z59" s="788">
        <f>COUNTIFS('Plot By Plot SoA'!$H$140:$H$172,"Y",'Plot By Plot SoA'!$N$140:$N$172,"Y")</f>
        <v>0</v>
      </c>
      <c r="AA59" s="162">
        <f>COUNTIFS('Plot By Plot SoA'!$I$140:$I$172,"Y",'Plot By Plot SoA'!$N$140:$N$172,"Y")</f>
        <v>0</v>
      </c>
      <c r="AB59" s="656">
        <f>SUM(W59:AA59)</f>
        <v>1</v>
      </c>
    </row>
    <row r="60" spans="1:28" ht="30.75" thickBot="1" x14ac:dyDescent="0.3">
      <c r="A60" s="1273"/>
      <c r="B60" s="1283"/>
      <c r="C60" s="907">
        <f>'Marketing SoA'!B127</f>
        <v>122</v>
      </c>
      <c r="D60" s="907" t="str">
        <f>'Marketing SoA'!C127</f>
        <v>House</v>
      </c>
      <c r="E60" s="907" t="str">
        <f>'Marketing SoA'!D127</f>
        <v>MT House</v>
      </c>
      <c r="F60" s="907">
        <f>'Marketing SoA'!E127</f>
        <v>77.5</v>
      </c>
      <c r="G60" s="944">
        <f>'Marketing SoA'!F127</f>
        <v>834.20224999999994</v>
      </c>
      <c r="H60" s="907" t="str">
        <f>'Marketing SoA'!G127</f>
        <v>2B3P</v>
      </c>
      <c r="I60" s="907">
        <f>'Marketing SoA'!H127</f>
        <v>3</v>
      </c>
      <c r="J60" s="907" t="str">
        <f>'Marketing SoA'!I127</f>
        <v>-</v>
      </c>
      <c r="K60" s="907" t="str">
        <f>'Marketing SoA'!J127</f>
        <v>On-site within MSCP</v>
      </c>
      <c r="L60" s="907" t="str">
        <f>'Marketing SoA'!K127</f>
        <v>Community Amenity</v>
      </c>
      <c r="M60" s="908" t="str">
        <f>'Marketing SoA'!L127</f>
        <v>-</v>
      </c>
      <c r="O60" s="1191"/>
      <c r="P60" s="1192"/>
      <c r="Q60" s="1192"/>
      <c r="R60" s="1192"/>
      <c r="S60" s="1193"/>
      <c r="U60" s="1158"/>
      <c r="V60" s="648" t="s">
        <v>52</v>
      </c>
      <c r="W60" s="480">
        <f>SUM(W56:W59)</f>
        <v>24</v>
      </c>
      <c r="X60" s="649">
        <f>SUM(X57:X59)</f>
        <v>2</v>
      </c>
      <c r="Y60" s="480">
        <f>SUM(Y56:Y59)</f>
        <v>1</v>
      </c>
      <c r="Z60" s="480">
        <f>SUM(Z56:Z59)</f>
        <v>0</v>
      </c>
      <c r="AA60" s="480">
        <f>SUM(AA56:AA59)</f>
        <v>0</v>
      </c>
      <c r="AB60" s="891">
        <f>SUM(W60:AA60)</f>
        <v>27</v>
      </c>
    </row>
    <row r="61" spans="1:28" ht="30.75" thickBot="1" x14ac:dyDescent="0.3">
      <c r="A61" s="1273"/>
      <c r="B61" s="1283"/>
      <c r="C61" s="907">
        <f>'Marketing SoA'!B128</f>
        <v>123</v>
      </c>
      <c r="D61" s="907" t="str">
        <f>'Marketing SoA'!C128</f>
        <v>House</v>
      </c>
      <c r="E61" s="907" t="str">
        <f>'Marketing SoA'!D128</f>
        <v>MT House</v>
      </c>
      <c r="F61" s="907">
        <f>'Marketing SoA'!E128</f>
        <v>77.5</v>
      </c>
      <c r="G61" s="944">
        <f>'Marketing SoA'!F128</f>
        <v>834.20224999999994</v>
      </c>
      <c r="H61" s="907" t="str">
        <f>'Marketing SoA'!G128</f>
        <v>2B3P</v>
      </c>
      <c r="I61" s="907">
        <f>'Marketing SoA'!H128</f>
        <v>3</v>
      </c>
      <c r="J61" s="907" t="str">
        <f>'Marketing SoA'!I128</f>
        <v>-</v>
      </c>
      <c r="K61" s="907" t="str">
        <f>'Marketing SoA'!J128</f>
        <v>On-site within MSCP</v>
      </c>
      <c r="L61" s="907" t="str">
        <f>'Marketing SoA'!K128</f>
        <v>Community Amenity</v>
      </c>
      <c r="M61" s="908" t="str">
        <f>'Marketing SoA'!L128</f>
        <v>-</v>
      </c>
      <c r="O61" s="1191"/>
      <c r="P61" s="1192"/>
      <c r="Q61" s="1192"/>
      <c r="R61" s="1192"/>
      <c r="S61" s="1193"/>
      <c r="U61" s="1158"/>
    </row>
    <row r="62" spans="1:28" ht="30" x14ac:dyDescent="0.25">
      <c r="A62" s="1273"/>
      <c r="B62" s="1283"/>
      <c r="C62" s="907">
        <f>'Marketing SoA'!B129</f>
        <v>124</v>
      </c>
      <c r="D62" s="907" t="str">
        <f>'Marketing SoA'!C129</f>
        <v>Coach House</v>
      </c>
      <c r="E62" s="907" t="str">
        <f>'Marketing SoA'!D129</f>
        <v>MT Coach House</v>
      </c>
      <c r="F62" s="907">
        <f>'Marketing SoA'!E129</f>
        <v>99</v>
      </c>
      <c r="G62" s="944">
        <f>'Marketing SoA'!F129</f>
        <v>1065.6261</v>
      </c>
      <c r="H62" s="907" t="str">
        <f>'Marketing SoA'!G129</f>
        <v>2B4P</v>
      </c>
      <c r="I62" s="907">
        <f>'Marketing SoA'!H129</f>
        <v>2</v>
      </c>
      <c r="J62" s="907" t="str">
        <f>'Marketing SoA'!I129</f>
        <v>-</v>
      </c>
      <c r="K62" s="907" t="str">
        <f>'Marketing SoA'!J129</f>
        <v>On-site within MSCP</v>
      </c>
      <c r="L62" s="907" t="str">
        <f>'Marketing SoA'!K129</f>
        <v>Community Amenity</v>
      </c>
      <c r="M62" s="908" t="str">
        <f>'Marketing SoA'!L129</f>
        <v>-</v>
      </c>
      <c r="O62" s="1191"/>
      <c r="P62" s="1192"/>
      <c r="Q62" s="1192"/>
      <c r="R62" s="1192"/>
      <c r="S62" s="1193"/>
      <c r="U62" s="1158"/>
      <c r="V62" s="1139" t="s">
        <v>413</v>
      </c>
      <c r="W62" s="1140"/>
      <c r="X62" s="1140"/>
      <c r="Y62" s="1140"/>
      <c r="Z62" s="1140"/>
      <c r="AA62" s="1141"/>
    </row>
    <row r="63" spans="1:28" ht="30" x14ac:dyDescent="0.35">
      <c r="A63" s="1273"/>
      <c r="B63" s="1283"/>
      <c r="C63" s="907">
        <f>'Marketing SoA'!B130</f>
        <v>125</v>
      </c>
      <c r="D63" s="907" t="str">
        <f>'Marketing SoA'!C130</f>
        <v>House</v>
      </c>
      <c r="E63" s="907" t="str">
        <f>'Marketing SoA'!D130</f>
        <v>MT House</v>
      </c>
      <c r="F63" s="907">
        <f>'Marketing SoA'!E130</f>
        <v>75.3</v>
      </c>
      <c r="G63" s="944">
        <f>'Marketing SoA'!F130</f>
        <v>810.52166999999997</v>
      </c>
      <c r="H63" s="907" t="str">
        <f>'Marketing SoA'!G130</f>
        <v>2B3P</v>
      </c>
      <c r="I63" s="907">
        <f>'Marketing SoA'!H130</f>
        <v>3</v>
      </c>
      <c r="J63" s="907" t="str">
        <f>'Marketing SoA'!I130</f>
        <v>-</v>
      </c>
      <c r="K63" s="907" t="str">
        <f>'Marketing SoA'!J130</f>
        <v>On-site within MSCP</v>
      </c>
      <c r="L63" s="907" t="str">
        <f>'Marketing SoA'!K130</f>
        <v>Community Amenity</v>
      </c>
      <c r="M63" s="908" t="str">
        <f>'Marketing SoA'!L130</f>
        <v>-</v>
      </c>
      <c r="O63" s="1191"/>
      <c r="P63" s="1192"/>
      <c r="Q63" s="1192"/>
      <c r="R63" s="1192"/>
      <c r="S63" s="1193"/>
      <c r="U63" s="1158"/>
      <c r="V63" s="1142"/>
      <c r="W63" s="1143"/>
      <c r="X63" s="1143"/>
      <c r="Y63" s="1144"/>
      <c r="Z63" s="644" t="s">
        <v>243</v>
      </c>
      <c r="AA63" s="645" t="s">
        <v>242</v>
      </c>
    </row>
    <row r="64" spans="1:28" ht="30.75" thickBot="1" x14ac:dyDescent="0.3">
      <c r="A64" s="1273"/>
      <c r="B64" s="1283"/>
      <c r="C64" s="907">
        <f>'Marketing SoA'!B131</f>
        <v>126</v>
      </c>
      <c r="D64" s="907" t="str">
        <f>'Marketing SoA'!C131</f>
        <v>House</v>
      </c>
      <c r="E64" s="907" t="str">
        <f>'Marketing SoA'!D131</f>
        <v>MT House</v>
      </c>
      <c r="F64" s="907">
        <f>'Marketing SoA'!E131</f>
        <v>75.3</v>
      </c>
      <c r="G64" s="944">
        <f>'Marketing SoA'!F131</f>
        <v>810.52166999999997</v>
      </c>
      <c r="H64" s="907" t="str">
        <f>'Marketing SoA'!G131</f>
        <v>2B3P</v>
      </c>
      <c r="I64" s="907">
        <f>'Marketing SoA'!H131</f>
        <v>3</v>
      </c>
      <c r="J64" s="907" t="str">
        <f>'Marketing SoA'!I131</f>
        <v>-</v>
      </c>
      <c r="K64" s="907" t="str">
        <f>'Marketing SoA'!J131</f>
        <v>On-site within MSCP</v>
      </c>
      <c r="L64" s="907" t="str">
        <f>'Marketing SoA'!K131</f>
        <v>Community Amenity</v>
      </c>
      <c r="M64" s="908" t="str">
        <f>'Marketing SoA'!L131</f>
        <v>-</v>
      </c>
      <c r="O64" s="1191"/>
      <c r="P64" s="1192"/>
      <c r="Q64" s="1192"/>
      <c r="R64" s="1192"/>
      <c r="S64" s="1193"/>
      <c r="U64" s="1158"/>
      <c r="V64" s="1145" t="s">
        <v>632</v>
      </c>
      <c r="W64" s="1146"/>
      <c r="X64" s="1146"/>
      <c r="Y64" s="1147"/>
      <c r="Z64" s="776">
        <f>SUM(F54:F80)</f>
        <v>2383.6999999999998</v>
      </c>
      <c r="AA64" s="890">
        <f>SUM(Z64*10.764)</f>
        <v>25658.146799999995</v>
      </c>
    </row>
    <row r="65" spans="1:27" ht="30.75" thickBot="1" x14ac:dyDescent="0.3">
      <c r="A65" s="1273"/>
      <c r="B65" s="1283"/>
      <c r="C65" s="907">
        <f>'Marketing SoA'!B132</f>
        <v>127</v>
      </c>
      <c r="D65" s="907" t="str">
        <f>'Marketing SoA'!C132</f>
        <v>House</v>
      </c>
      <c r="E65" s="907" t="str">
        <f>'Marketing SoA'!D132</f>
        <v>EoT House</v>
      </c>
      <c r="F65" s="907">
        <f>'Marketing SoA'!E132</f>
        <v>75.3</v>
      </c>
      <c r="G65" s="944">
        <f>'Marketing SoA'!F132</f>
        <v>810.52166999999997</v>
      </c>
      <c r="H65" s="907" t="str">
        <f>'Marketing SoA'!G132</f>
        <v>2B3P</v>
      </c>
      <c r="I65" s="907">
        <f>'Marketing SoA'!H132</f>
        <v>3</v>
      </c>
      <c r="J65" s="907" t="str">
        <f>'Marketing SoA'!I132</f>
        <v>-</v>
      </c>
      <c r="K65" s="907" t="str">
        <f>'Marketing SoA'!J132</f>
        <v>On-site within MSCP</v>
      </c>
      <c r="L65" s="907" t="str">
        <f>'Marketing SoA'!K132</f>
        <v>Community Amenity</v>
      </c>
      <c r="M65" s="908" t="str">
        <f>'Marketing SoA'!L132</f>
        <v>-</v>
      </c>
      <c r="O65" s="1191"/>
      <c r="P65" s="1192"/>
      <c r="Q65" s="1192"/>
      <c r="R65" s="1192"/>
      <c r="S65" s="1193"/>
      <c r="U65" s="1158"/>
      <c r="V65" s="1148" t="s">
        <v>414</v>
      </c>
      <c r="W65" s="1149"/>
      <c r="X65" s="1149"/>
      <c r="Y65" s="1149"/>
      <c r="Z65" s="647">
        <f>SUM(Z64:Z64)</f>
        <v>2383.6999999999998</v>
      </c>
      <c r="AA65" s="650">
        <f>SUM(AA64:AA64)</f>
        <v>25658.146799999995</v>
      </c>
    </row>
    <row r="66" spans="1:27" ht="30" customHeight="1" x14ac:dyDescent="0.25">
      <c r="A66" s="1273"/>
      <c r="B66" s="1283"/>
      <c r="C66" s="907">
        <f>'Marketing SoA'!B133</f>
        <v>128</v>
      </c>
      <c r="D66" s="907" t="str">
        <f>'Marketing SoA'!C133</f>
        <v>House</v>
      </c>
      <c r="E66" s="907" t="str">
        <f>'Marketing SoA'!D133</f>
        <v>EoT House</v>
      </c>
      <c r="F66" s="907">
        <f>'Marketing SoA'!E133</f>
        <v>70.599999999999994</v>
      </c>
      <c r="G66" s="944">
        <f>'Marketing SoA'!F133</f>
        <v>759.93133999999986</v>
      </c>
      <c r="H66" s="907" t="str">
        <f>'Marketing SoA'!G133</f>
        <v>2B3P</v>
      </c>
      <c r="I66" s="907">
        <f>'Marketing SoA'!H133</f>
        <v>2</v>
      </c>
      <c r="J66" s="907" t="str">
        <f>'Marketing SoA'!I133</f>
        <v>-</v>
      </c>
      <c r="K66" s="907" t="str">
        <f>'Marketing SoA'!J133</f>
        <v>On-site within MSCP</v>
      </c>
      <c r="L66" s="907" t="str">
        <f>'Marketing SoA'!K133</f>
        <v>Community Amenity</v>
      </c>
      <c r="M66" s="908" t="str">
        <f>'Marketing SoA'!L133</f>
        <v>-</v>
      </c>
      <c r="O66" s="1191"/>
      <c r="P66" s="1192"/>
      <c r="Q66" s="1192"/>
      <c r="R66" s="1192"/>
      <c r="S66" s="1193"/>
    </row>
    <row r="67" spans="1:27" ht="30" x14ac:dyDescent="0.25">
      <c r="A67" s="1273"/>
      <c r="B67" s="1283"/>
      <c r="C67" s="907">
        <f>'Marketing SoA'!B134</f>
        <v>129</v>
      </c>
      <c r="D67" s="907" t="str">
        <f>'Marketing SoA'!C134</f>
        <v>House</v>
      </c>
      <c r="E67" s="907" t="str">
        <f>'Marketing SoA'!D134</f>
        <v>MT House</v>
      </c>
      <c r="F67" s="907">
        <f>'Marketing SoA'!E134</f>
        <v>91.4</v>
      </c>
      <c r="G67" s="944">
        <f>'Marketing SoA'!F134</f>
        <v>983.82046000000003</v>
      </c>
      <c r="H67" s="907" t="str">
        <f>'Marketing SoA'!G134</f>
        <v>3B5P</v>
      </c>
      <c r="I67" s="907">
        <f>'Marketing SoA'!H134</f>
        <v>3</v>
      </c>
      <c r="J67" s="907" t="str">
        <f>'Marketing SoA'!I134</f>
        <v>-</v>
      </c>
      <c r="K67" s="907" t="str">
        <f>'Marketing SoA'!J134</f>
        <v>On-site within MSCP</v>
      </c>
      <c r="L67" s="907" t="str">
        <f>'Marketing SoA'!K134</f>
        <v>Roof Terrace</v>
      </c>
      <c r="M67" s="908">
        <f>'Marketing SoA'!L134</f>
        <v>113</v>
      </c>
      <c r="O67" s="1191"/>
      <c r="P67" s="1192"/>
      <c r="Q67" s="1192"/>
      <c r="R67" s="1192"/>
      <c r="S67" s="1193"/>
    </row>
    <row r="68" spans="1:27" ht="45" x14ac:dyDescent="0.25">
      <c r="A68" s="1273"/>
      <c r="B68" s="1283"/>
      <c r="C68" s="907">
        <f>'Marketing SoA'!B135</f>
        <v>130</v>
      </c>
      <c r="D68" s="907" t="str">
        <f>'Marketing SoA'!C135</f>
        <v>House</v>
      </c>
      <c r="E68" s="907" t="str">
        <f>'Marketing SoA'!D135</f>
        <v>MT House</v>
      </c>
      <c r="F68" s="907">
        <f>'Marketing SoA'!E135</f>
        <v>108.2</v>
      </c>
      <c r="G68" s="944">
        <f>'Marketing SoA'!F135</f>
        <v>1164.65398</v>
      </c>
      <c r="H68" s="907" t="str">
        <f>'Marketing SoA'!G135</f>
        <v>3B5P</v>
      </c>
      <c r="I68" s="907">
        <f>'Marketing SoA'!H135</f>
        <v>3</v>
      </c>
      <c r="J68" s="907" t="str">
        <f>'Marketing SoA'!I135</f>
        <v>-</v>
      </c>
      <c r="K68" s="907" t="str">
        <f>'Marketing SoA'!J135</f>
        <v>On-plot Allocated Parking</v>
      </c>
      <c r="L68" s="907" t="str">
        <f>'Marketing SoA'!K135</f>
        <v>Roof Terrace</v>
      </c>
      <c r="M68" s="908">
        <f>'Marketing SoA'!L135</f>
        <v>236</v>
      </c>
      <c r="O68" s="1191"/>
      <c r="P68" s="1192"/>
      <c r="Q68" s="1192"/>
      <c r="R68" s="1192"/>
      <c r="S68" s="1193"/>
    </row>
    <row r="69" spans="1:27" ht="45" x14ac:dyDescent="0.25">
      <c r="A69" s="1273"/>
      <c r="B69" s="1283"/>
      <c r="C69" s="907">
        <f>'Marketing SoA'!B136</f>
        <v>131</v>
      </c>
      <c r="D69" s="907" t="str">
        <f>'Marketing SoA'!C136</f>
        <v>House</v>
      </c>
      <c r="E69" s="907" t="str">
        <f>'Marketing SoA'!D136</f>
        <v>EoT House</v>
      </c>
      <c r="F69" s="907">
        <f>'Marketing SoA'!E136</f>
        <v>127.5</v>
      </c>
      <c r="G69" s="944">
        <f>'Marketing SoA'!F136</f>
        <v>1372.39725</v>
      </c>
      <c r="H69" s="907" t="str">
        <f>'Marketing SoA'!G136</f>
        <v>4B7P</v>
      </c>
      <c r="I69" s="907">
        <f>'Marketing SoA'!H136</f>
        <v>3</v>
      </c>
      <c r="J69" s="907" t="str">
        <f>'Marketing SoA'!I136</f>
        <v>-</v>
      </c>
      <c r="K69" s="907" t="str">
        <f>'Marketing SoA'!J136</f>
        <v>On-plot Allocated Parking</v>
      </c>
      <c r="L69" s="907" t="str">
        <f>'Marketing SoA'!K136</f>
        <v>Frontage Amenity</v>
      </c>
      <c r="M69" s="908">
        <f>'Marketing SoA'!L136</f>
        <v>72</v>
      </c>
      <c r="O69" s="1191"/>
      <c r="P69" s="1192"/>
      <c r="Q69" s="1192"/>
      <c r="R69" s="1192"/>
      <c r="S69" s="1193"/>
    </row>
    <row r="70" spans="1:27" ht="30" x14ac:dyDescent="0.25">
      <c r="A70" s="1273"/>
      <c r="B70" s="1283"/>
      <c r="C70" s="907">
        <f>'Marketing SoA'!B137</f>
        <v>132</v>
      </c>
      <c r="D70" s="907" t="str">
        <f>'Marketing SoA'!C137</f>
        <v>House</v>
      </c>
      <c r="E70" s="907" t="str">
        <f>'Marketing SoA'!D137</f>
        <v>MT House</v>
      </c>
      <c r="F70" s="907">
        <f>'Marketing SoA'!E137</f>
        <v>72.599999999999994</v>
      </c>
      <c r="G70" s="944">
        <f>'Marketing SoA'!F137</f>
        <v>781.45913999999993</v>
      </c>
      <c r="H70" s="907" t="str">
        <f>'Marketing SoA'!G137</f>
        <v>2B3P</v>
      </c>
      <c r="I70" s="907">
        <f>'Marketing SoA'!H137</f>
        <v>3</v>
      </c>
      <c r="J70" s="907" t="str">
        <f>'Marketing SoA'!I137</f>
        <v>Y</v>
      </c>
      <c r="K70" s="907" t="str">
        <f>'Marketing SoA'!J137</f>
        <v>On-site within MSCP</v>
      </c>
      <c r="L70" s="907" t="str">
        <f>'Marketing SoA'!K137</f>
        <v>Balcony</v>
      </c>
      <c r="M70" s="908">
        <f>'Marketing SoA'!L137</f>
        <v>51</v>
      </c>
      <c r="O70" s="1191"/>
      <c r="P70" s="1192"/>
      <c r="Q70" s="1192"/>
      <c r="R70" s="1192"/>
      <c r="S70" s="1193"/>
    </row>
    <row r="71" spans="1:27" ht="45" x14ac:dyDescent="0.25">
      <c r="A71" s="1273"/>
      <c r="B71" s="1283"/>
      <c r="C71" s="907">
        <f>'Marketing SoA'!B138</f>
        <v>133</v>
      </c>
      <c r="D71" s="907" t="str">
        <f>'Marketing SoA'!C138</f>
        <v>House</v>
      </c>
      <c r="E71" s="907" t="str">
        <f>'Marketing SoA'!D138</f>
        <v>MT House</v>
      </c>
      <c r="F71" s="907">
        <f>'Marketing SoA'!E138</f>
        <v>90</v>
      </c>
      <c r="G71" s="944">
        <f>'Marketing SoA'!F138</f>
        <v>968.75099999999998</v>
      </c>
      <c r="H71" s="907" t="str">
        <f>'Marketing SoA'!G138</f>
        <v>3B4P</v>
      </c>
      <c r="I71" s="907">
        <f>'Marketing SoA'!H138</f>
        <v>3</v>
      </c>
      <c r="J71" s="907" t="str">
        <f>'Marketing SoA'!I138</f>
        <v>-</v>
      </c>
      <c r="K71" s="907" t="str">
        <f>'Marketing SoA'!J138</f>
        <v>On-plot Allocated Parking</v>
      </c>
      <c r="L71" s="907" t="str">
        <f>'Marketing SoA'!K138</f>
        <v>Shared Amenity</v>
      </c>
      <c r="M71" s="908" t="str">
        <f>'Marketing SoA'!L138</f>
        <v>-</v>
      </c>
      <c r="O71" s="1191"/>
      <c r="P71" s="1192"/>
      <c r="Q71" s="1192"/>
      <c r="R71" s="1192"/>
      <c r="S71" s="1193"/>
    </row>
    <row r="72" spans="1:27" ht="45" x14ac:dyDescent="0.25">
      <c r="A72" s="1273"/>
      <c r="B72" s="1283"/>
      <c r="C72" s="907">
        <f>'Marketing SoA'!B139</f>
        <v>134</v>
      </c>
      <c r="D72" s="907" t="str">
        <f>'Marketing SoA'!C139</f>
        <v>House</v>
      </c>
      <c r="E72" s="907" t="str">
        <f>'Marketing SoA'!D139</f>
        <v>EoT House</v>
      </c>
      <c r="F72" s="907">
        <f>'Marketing SoA'!E139</f>
        <v>97.1</v>
      </c>
      <c r="G72" s="944">
        <f>'Marketing SoA'!F139</f>
        <v>1045.1746899999998</v>
      </c>
      <c r="H72" s="907" t="str">
        <f>'Marketing SoA'!G139</f>
        <v>3B4P</v>
      </c>
      <c r="I72" s="907">
        <f>'Marketing SoA'!H139</f>
        <v>3</v>
      </c>
      <c r="J72" s="907" t="str">
        <f>'Marketing SoA'!I139</f>
        <v>-</v>
      </c>
      <c r="K72" s="907" t="str">
        <f>'Marketing SoA'!J139</f>
        <v>On-plot Allocated Parking</v>
      </c>
      <c r="L72" s="907" t="str">
        <f>'Marketing SoA'!K139</f>
        <v>Shared Amenity</v>
      </c>
      <c r="M72" s="908" t="str">
        <f>'Marketing SoA'!L139</f>
        <v>-</v>
      </c>
      <c r="O72" s="1191"/>
      <c r="P72" s="1192"/>
      <c r="Q72" s="1192"/>
      <c r="R72" s="1192"/>
      <c r="S72" s="1193"/>
    </row>
    <row r="73" spans="1:27" ht="30" customHeight="1" x14ac:dyDescent="0.25">
      <c r="A73" s="1273"/>
      <c r="B73" s="1283"/>
      <c r="C73" s="907">
        <f>'Marketing SoA'!B140</f>
        <v>135</v>
      </c>
      <c r="D73" s="907" t="str">
        <f>'Marketing SoA'!C140</f>
        <v>House</v>
      </c>
      <c r="E73" s="907" t="str">
        <f>'Marketing SoA'!D140</f>
        <v>EoT House</v>
      </c>
      <c r="F73" s="907">
        <f>'Marketing SoA'!E140</f>
        <v>91.3</v>
      </c>
      <c r="G73" s="944">
        <f>'Marketing SoA'!F140</f>
        <v>982.74406999999997</v>
      </c>
      <c r="H73" s="907" t="str">
        <f>'Marketing SoA'!G140</f>
        <v>3B5P</v>
      </c>
      <c r="I73" s="907">
        <f>'Marketing SoA'!H140</f>
        <v>3</v>
      </c>
      <c r="J73" s="907" t="str">
        <f>'Marketing SoA'!I140</f>
        <v>-</v>
      </c>
      <c r="K73" s="907" t="str">
        <f>'Marketing SoA'!J140</f>
        <v>Garage Parking space.</v>
      </c>
      <c r="L73" s="907" t="str">
        <f>'Marketing SoA'!K140</f>
        <v>Balcony</v>
      </c>
      <c r="M73" s="908">
        <f>'Marketing SoA'!L140</f>
        <v>95</v>
      </c>
      <c r="O73" s="1191"/>
      <c r="P73" s="1192"/>
      <c r="Q73" s="1192"/>
      <c r="R73" s="1192"/>
      <c r="S73" s="1193"/>
    </row>
    <row r="74" spans="1:27" ht="30" x14ac:dyDescent="0.25">
      <c r="A74" s="1273"/>
      <c r="B74" s="1283"/>
      <c r="C74" s="907">
        <f>'Marketing SoA'!B141</f>
        <v>136</v>
      </c>
      <c r="D74" s="907" t="str">
        <f>'Marketing SoA'!C141</f>
        <v>Coach House</v>
      </c>
      <c r="E74" s="907" t="str">
        <f>'Marketing SoA'!D141</f>
        <v>Coach House</v>
      </c>
      <c r="F74" s="907">
        <f>'Marketing SoA'!E141</f>
        <v>88.5</v>
      </c>
      <c r="G74" s="944">
        <f>'Marketing SoA'!F141</f>
        <v>952.60514999999998</v>
      </c>
      <c r="H74" s="907" t="str">
        <f>'Marketing SoA'!G141</f>
        <v>2B3P</v>
      </c>
      <c r="I74" s="907">
        <f>'Marketing SoA'!H141</f>
        <v>2</v>
      </c>
      <c r="J74" s="907" t="str">
        <f>'Marketing SoA'!I141</f>
        <v>-</v>
      </c>
      <c r="K74" s="907" t="str">
        <f>'Marketing SoA'!J141</f>
        <v>On-site within MSCP</v>
      </c>
      <c r="L74" s="907" t="str">
        <f>'Marketing SoA'!K141</f>
        <v>Community Amenity</v>
      </c>
      <c r="M74" s="908" t="str">
        <f>'Marketing SoA'!L141</f>
        <v>-</v>
      </c>
      <c r="O74" s="1191"/>
      <c r="P74" s="1192"/>
      <c r="Q74" s="1192"/>
      <c r="R74" s="1192"/>
      <c r="S74" s="1193"/>
    </row>
    <row r="75" spans="1:27" ht="30" customHeight="1" x14ac:dyDescent="0.25">
      <c r="A75" s="1273"/>
      <c r="B75" s="1283"/>
      <c r="C75" s="907">
        <f>'Marketing SoA'!B142</f>
        <v>137</v>
      </c>
      <c r="D75" s="907" t="str">
        <f>'Marketing SoA'!C142</f>
        <v>House</v>
      </c>
      <c r="E75" s="907" t="str">
        <f>'Marketing SoA'!D142</f>
        <v>MT House</v>
      </c>
      <c r="F75" s="907">
        <f>'Marketing SoA'!E142</f>
        <v>89.9</v>
      </c>
      <c r="G75" s="944">
        <f>'Marketing SoA'!F142</f>
        <v>967.67461000000003</v>
      </c>
      <c r="H75" s="907" t="str">
        <f>'Marketing SoA'!G142</f>
        <v>3B5P</v>
      </c>
      <c r="I75" s="907">
        <f>'Marketing SoA'!H142</f>
        <v>3</v>
      </c>
      <c r="J75" s="907" t="str">
        <f>'Marketing SoA'!I142</f>
        <v>-</v>
      </c>
      <c r="K75" s="907" t="str">
        <f>'Marketing SoA'!J142</f>
        <v>Garage Parking space.</v>
      </c>
      <c r="L75" s="907" t="str">
        <f>'Marketing SoA'!K142</f>
        <v>Community Amenity</v>
      </c>
      <c r="M75" s="908" t="str">
        <f>'Marketing SoA'!L142</f>
        <v>-</v>
      </c>
      <c r="O75" s="1191"/>
      <c r="P75" s="1192"/>
      <c r="Q75" s="1192"/>
      <c r="R75" s="1192"/>
      <c r="S75" s="1193"/>
    </row>
    <row r="76" spans="1:27" ht="45" x14ac:dyDescent="0.25">
      <c r="A76" s="1273"/>
      <c r="B76" s="1283"/>
      <c r="C76" s="907">
        <f>'Marketing SoA'!B143</f>
        <v>138</v>
      </c>
      <c r="D76" s="907" t="str">
        <f>'Marketing SoA'!C143</f>
        <v>House</v>
      </c>
      <c r="E76" s="907" t="str">
        <f>'Marketing SoA'!D143</f>
        <v>EoT House</v>
      </c>
      <c r="F76" s="907">
        <f>'Marketing SoA'!E143</f>
        <v>90.7</v>
      </c>
      <c r="G76" s="944">
        <f>'Marketing SoA'!F143</f>
        <v>976.28572999999994</v>
      </c>
      <c r="H76" s="907" t="str">
        <f>'Marketing SoA'!G143</f>
        <v>2B3P</v>
      </c>
      <c r="I76" s="907">
        <f>'Marketing SoA'!H143</f>
        <v>4</v>
      </c>
      <c r="J76" s="907" t="str">
        <f>'Marketing SoA'!I143</f>
        <v>-</v>
      </c>
      <c r="K76" s="907" t="str">
        <f>'Marketing SoA'!J143</f>
        <v>On-plot Allocated Parking</v>
      </c>
      <c r="L76" s="907" t="str">
        <f>'Marketing SoA'!K143</f>
        <v>Roof Terrace</v>
      </c>
      <c r="M76" s="908">
        <f>'Marketing SoA'!L143</f>
        <v>222</v>
      </c>
      <c r="O76" s="1191"/>
      <c r="P76" s="1192"/>
      <c r="Q76" s="1192"/>
      <c r="R76" s="1192"/>
      <c r="S76" s="1193"/>
    </row>
    <row r="77" spans="1:27" ht="45" x14ac:dyDescent="0.25">
      <c r="A77" s="1273"/>
      <c r="B77" s="1283"/>
      <c r="C77" s="907">
        <f>'Marketing SoA'!B144</f>
        <v>139</v>
      </c>
      <c r="D77" s="907" t="str">
        <f>'Marketing SoA'!C144</f>
        <v>House</v>
      </c>
      <c r="E77" s="907" t="str">
        <f>'Marketing SoA'!D144</f>
        <v>MT House</v>
      </c>
      <c r="F77" s="907">
        <f>'Marketing SoA'!E144</f>
        <v>90.7</v>
      </c>
      <c r="G77" s="944">
        <f>'Marketing SoA'!F144</f>
        <v>976.28572999999994</v>
      </c>
      <c r="H77" s="907" t="str">
        <f>'Marketing SoA'!G144</f>
        <v>2B3P</v>
      </c>
      <c r="I77" s="907">
        <f>'Marketing SoA'!H144</f>
        <v>4</v>
      </c>
      <c r="J77" s="907" t="str">
        <f>'Marketing SoA'!I144</f>
        <v>-</v>
      </c>
      <c r="K77" s="907" t="str">
        <f>'Marketing SoA'!J144</f>
        <v>On-plot Allocated Parking</v>
      </c>
      <c r="L77" s="907" t="str">
        <f>'Marketing SoA'!K144</f>
        <v>Private Rear Garden</v>
      </c>
      <c r="M77" s="908">
        <f>'Marketing SoA'!L144</f>
        <v>271</v>
      </c>
      <c r="O77" s="1191"/>
      <c r="P77" s="1192"/>
      <c r="Q77" s="1192"/>
      <c r="R77" s="1192"/>
      <c r="S77" s="1193"/>
    </row>
    <row r="78" spans="1:27" ht="45" x14ac:dyDescent="0.25">
      <c r="A78" s="1273"/>
      <c r="B78" s="1283"/>
      <c r="C78" s="907">
        <f>'Marketing SoA'!B145</f>
        <v>140</v>
      </c>
      <c r="D78" s="907" t="str">
        <f>'Marketing SoA'!C145</f>
        <v>House</v>
      </c>
      <c r="E78" s="907" t="str">
        <f>'Marketing SoA'!D145</f>
        <v>MT House</v>
      </c>
      <c r="F78" s="907">
        <f>'Marketing SoA'!E145</f>
        <v>87.6</v>
      </c>
      <c r="G78" s="944">
        <f>'Marketing SoA'!F145</f>
        <v>942.91763999999989</v>
      </c>
      <c r="H78" s="907" t="str">
        <f>'Marketing SoA'!G145</f>
        <v>2B3P</v>
      </c>
      <c r="I78" s="907">
        <f>'Marketing SoA'!H145</f>
        <v>3</v>
      </c>
      <c r="J78" s="907" t="str">
        <f>'Marketing SoA'!I145</f>
        <v>-</v>
      </c>
      <c r="K78" s="907" t="str">
        <f>'Marketing SoA'!J145</f>
        <v>On-plot Allocated Parking</v>
      </c>
      <c r="L78" s="907" t="str">
        <f>'Marketing SoA'!K145</f>
        <v>Private Rear Garden</v>
      </c>
      <c r="M78" s="908">
        <f>'Marketing SoA'!L145</f>
        <v>237</v>
      </c>
      <c r="O78" s="1191"/>
      <c r="P78" s="1192"/>
      <c r="Q78" s="1192"/>
      <c r="R78" s="1192"/>
      <c r="S78" s="1193"/>
    </row>
    <row r="79" spans="1:27" ht="30" customHeight="1" x14ac:dyDescent="0.25">
      <c r="A79" s="1273"/>
      <c r="B79" s="1283"/>
      <c r="C79" s="907">
        <f>'Marketing SoA'!B146</f>
        <v>141</v>
      </c>
      <c r="D79" s="907" t="str">
        <f>'Marketing SoA'!C146</f>
        <v>House</v>
      </c>
      <c r="E79" s="907" t="str">
        <f>'Marketing SoA'!D146</f>
        <v>MT House</v>
      </c>
      <c r="F79" s="907">
        <f>'Marketing SoA'!E146</f>
        <v>97.3</v>
      </c>
      <c r="G79" s="944">
        <f>'Marketing SoA'!F146</f>
        <v>1047.3274699999999</v>
      </c>
      <c r="H79" s="907" t="str">
        <f>'Marketing SoA'!G146</f>
        <v>3B4P</v>
      </c>
      <c r="I79" s="907">
        <f>'Marketing SoA'!H146</f>
        <v>3</v>
      </c>
      <c r="J79" s="907" t="str">
        <f>'Marketing SoA'!I146</f>
        <v>-</v>
      </c>
      <c r="K79" s="907" t="str">
        <f>'Marketing SoA'!J146</f>
        <v>On-plot Allocated Parking</v>
      </c>
      <c r="L79" s="907" t="str">
        <f>'Marketing SoA'!K146</f>
        <v>Shared Amenity</v>
      </c>
      <c r="M79" s="908" t="str">
        <f>'Marketing SoA'!L146</f>
        <v>-</v>
      </c>
      <c r="O79" s="1191"/>
      <c r="P79" s="1192"/>
      <c r="Q79" s="1192"/>
      <c r="R79" s="1192"/>
      <c r="S79" s="1193"/>
    </row>
    <row r="80" spans="1:27" ht="30.75" thickBot="1" x14ac:dyDescent="0.3">
      <c r="A80" s="1273"/>
      <c r="B80" s="1284"/>
      <c r="C80" s="907">
        <f>'Marketing SoA'!B147</f>
        <v>142</v>
      </c>
      <c r="D80" s="907" t="str">
        <f>'Marketing SoA'!C147</f>
        <v>House</v>
      </c>
      <c r="E80" s="907" t="str">
        <f>'Marketing SoA'!D147</f>
        <v>EoT House</v>
      </c>
      <c r="F80" s="907">
        <f>'Marketing SoA'!E147</f>
        <v>89</v>
      </c>
      <c r="G80" s="944">
        <f>'Marketing SoA'!F147</f>
        <v>957.98709999999994</v>
      </c>
      <c r="H80" s="907" t="str">
        <f>'Marketing SoA'!G147</f>
        <v>2B4P</v>
      </c>
      <c r="I80" s="907">
        <f>'Marketing SoA'!H147</f>
        <v>3</v>
      </c>
      <c r="J80" s="907" t="str">
        <f>'Marketing SoA'!I147</f>
        <v>-</v>
      </c>
      <c r="K80" s="907" t="str">
        <f>'Marketing SoA'!J147</f>
        <v>On-site within MSCP</v>
      </c>
      <c r="L80" s="907" t="str">
        <f>'Marketing SoA'!K147</f>
        <v>Community Amenity</v>
      </c>
      <c r="M80" s="908" t="str">
        <f>'Marketing SoA'!L147</f>
        <v>-</v>
      </c>
      <c r="O80" s="1191"/>
      <c r="P80" s="1192"/>
      <c r="Q80" s="1192"/>
      <c r="R80" s="1192"/>
      <c r="S80" s="1193"/>
    </row>
    <row r="81" spans="1:28" ht="30.75" thickBot="1" x14ac:dyDescent="0.3">
      <c r="A81" s="1252" t="s">
        <v>614</v>
      </c>
      <c r="B81" s="1280" t="s">
        <v>23</v>
      </c>
      <c r="C81" s="896">
        <f>'Marketing SoA'!B48</f>
        <v>43</v>
      </c>
      <c r="D81" s="896" t="str">
        <f>'Marketing SoA'!C48</f>
        <v>Maisonette</v>
      </c>
      <c r="E81" s="896" t="str">
        <f>'Marketing SoA'!D48</f>
        <v>EoT GF M</v>
      </c>
      <c r="F81" s="896">
        <f>'Marketing SoA'!E48</f>
        <v>46.9</v>
      </c>
      <c r="G81" s="945">
        <f>'Marketing SoA'!F48</f>
        <v>504.82690999999994</v>
      </c>
      <c r="H81" s="896" t="str">
        <f>'Marketing SoA'!G48</f>
        <v>1B2P</v>
      </c>
      <c r="I81" s="896">
        <f>'Marketing SoA'!H48</f>
        <v>1</v>
      </c>
      <c r="J81" s="896" t="str">
        <f>'Marketing SoA'!I48</f>
        <v>-</v>
      </c>
      <c r="K81" s="896" t="str">
        <f>'Marketing SoA'!J48</f>
        <v>On-site within MSCP</v>
      </c>
      <c r="L81" s="896" t="str">
        <f>'Marketing SoA'!K48</f>
        <v>Community Amenity</v>
      </c>
      <c r="M81" s="909" t="str">
        <f>'Marketing SoA'!L48</f>
        <v>-</v>
      </c>
      <c r="O81" s="1191"/>
      <c r="P81" s="1192"/>
      <c r="Q81" s="1192"/>
      <c r="R81" s="1192"/>
      <c r="S81" s="1193"/>
      <c r="U81" s="1154" t="s">
        <v>614</v>
      </c>
      <c r="V81" s="1136" t="s">
        <v>636</v>
      </c>
      <c r="W81" s="1137"/>
      <c r="X81" s="1137"/>
      <c r="Y81" s="1137"/>
      <c r="Z81" s="1137"/>
      <c r="AA81" s="1137"/>
      <c r="AB81" s="1138"/>
    </row>
    <row r="82" spans="1:28" ht="30" x14ac:dyDescent="0.25">
      <c r="A82" s="1252"/>
      <c r="B82" s="1248"/>
      <c r="C82" s="896">
        <f>'Marketing SoA'!B49</f>
        <v>44</v>
      </c>
      <c r="D82" s="896" t="str">
        <f>'Marketing SoA'!C49</f>
        <v>Duplex Maisonette</v>
      </c>
      <c r="E82" s="896" t="str">
        <f>'Marketing SoA'!D49</f>
        <v>FF EoT DM</v>
      </c>
      <c r="F82" s="896">
        <f>'Marketing SoA'!E49</f>
        <v>107.6</v>
      </c>
      <c r="G82" s="945">
        <f>'Marketing SoA'!F49</f>
        <v>1158.1956399999999</v>
      </c>
      <c r="H82" s="896" t="str">
        <f>'Marketing SoA'!G49</f>
        <v>3B5P</v>
      </c>
      <c r="I82" s="896">
        <f>'Marketing SoA'!H49</f>
        <v>2</v>
      </c>
      <c r="J82" s="896" t="str">
        <f>'Marketing SoA'!I49</f>
        <v>-</v>
      </c>
      <c r="K82" s="896" t="str">
        <f>'Marketing SoA'!J49</f>
        <v>On-site within MSCP</v>
      </c>
      <c r="L82" s="896" t="str">
        <f>'Marketing SoA'!K49</f>
        <v>Community Amenity</v>
      </c>
      <c r="M82" s="909" t="str">
        <f>'Marketing SoA'!L49</f>
        <v>-</v>
      </c>
      <c r="O82" s="1191"/>
      <c r="P82" s="1192"/>
      <c r="Q82" s="1192"/>
      <c r="R82" s="1192"/>
      <c r="S82" s="1193"/>
      <c r="U82" s="1154"/>
      <c r="V82" s="165"/>
      <c r="W82" s="791" t="s">
        <v>60</v>
      </c>
      <c r="X82" s="385" t="s">
        <v>192</v>
      </c>
      <c r="Y82" s="792" t="s">
        <v>78</v>
      </c>
      <c r="Z82" s="793" t="s">
        <v>55</v>
      </c>
      <c r="AA82" s="162" t="s">
        <v>56</v>
      </c>
      <c r="AB82" s="655" t="s">
        <v>52</v>
      </c>
    </row>
    <row r="83" spans="1:28" ht="30" x14ac:dyDescent="0.25">
      <c r="A83" s="1252"/>
      <c r="B83" s="1248"/>
      <c r="C83" s="896">
        <f>'Marketing SoA'!B50</f>
        <v>45</v>
      </c>
      <c r="D83" s="896" t="str">
        <f>'Marketing SoA'!C50</f>
        <v>Maisonette</v>
      </c>
      <c r="E83" s="896" t="str">
        <f>'Marketing SoA'!D50</f>
        <v>SF MT M</v>
      </c>
      <c r="F83" s="896">
        <f>'Marketing SoA'!E50</f>
        <v>38.5</v>
      </c>
      <c r="G83" s="945">
        <f>'Marketing SoA'!F50</f>
        <v>414.41014999999999</v>
      </c>
      <c r="H83" s="896" t="str">
        <f>'Marketing SoA'!G50</f>
        <v>1B2P</v>
      </c>
      <c r="I83" s="896">
        <f>'Marketing SoA'!H50</f>
        <v>1</v>
      </c>
      <c r="J83" s="896" t="str">
        <f>'Marketing SoA'!I50</f>
        <v>-</v>
      </c>
      <c r="K83" s="896" t="str">
        <f>'Marketing SoA'!J50</f>
        <v>On-site within MSCP</v>
      </c>
      <c r="L83" s="896" t="str">
        <f>'Marketing SoA'!K50</f>
        <v>Community Amenity</v>
      </c>
      <c r="M83" s="909" t="str">
        <f>'Marketing SoA'!L50</f>
        <v>-</v>
      </c>
      <c r="O83" s="1191"/>
      <c r="P83" s="1192"/>
      <c r="Q83" s="1192"/>
      <c r="R83" s="1192"/>
      <c r="S83" s="1193"/>
      <c r="U83" s="1154"/>
      <c r="V83" s="155" t="s">
        <v>28</v>
      </c>
      <c r="W83" s="781">
        <f>COUNTIFS('Plot By Plot SoA'!$E$51:$E$101,"Y",'Plot By Plot SoA'!$K$51:$K$101,"Y")+COUNTIFS('Plot By Plot SoA'!$E$342:$E$353,"Y",'Plot By Plot SoA'!$K$342:$K$353,"Y")</f>
        <v>0</v>
      </c>
      <c r="X83" s="789">
        <f>COUNTIFS('Plot By Plot SoA'!$F$51:$F$101,"Y",'Plot By Plot SoA'!$K$51:$K$101,"Y")+COUNTIFS('Plot By Plot SoA'!$F$342:$F$353,"Y",'Plot By Plot SoA'!$K$342:$K$353,"Y")</f>
        <v>0</v>
      </c>
      <c r="Y83" s="786">
        <f>COUNTIFS('Plot By Plot SoA'!$G$51:$G$101,"Y",'Plot By Plot SoA'!$K$51:$K$101,"Y")+COUNTIFS('Plot By Plot SoA'!$G$342:$G$353,"Y",'Plot By Plot SoA'!$K$342:$K$353,"Y")</f>
        <v>9</v>
      </c>
      <c r="Z83" s="786">
        <f>COUNTIFS('Plot By Plot SoA'!$H$51:$H$101,"Y",'Plot By Plot SoA'!$K$51:$K$101,"Y")+COUNTIFS('Plot By Plot SoA'!$H$342:$H$353,"Y",'Plot By Plot SoA'!$K$342:$K$353,"Y")</f>
        <v>0</v>
      </c>
      <c r="AA83" s="780">
        <f>COUNTIFS('Plot By Plot SoA'!$I$51:$I$101,"Y",'Plot By Plot SoA'!$K$51:$K$101,"Y")+COUNTIFS('Plot By Plot SoA'!$I$342:$I$353,"Y",'Plot By Plot SoA'!$K$342:$K$353,"Y")</f>
        <v>0</v>
      </c>
      <c r="AB83" s="471">
        <f>SUM(W83:AA83)</f>
        <v>9</v>
      </c>
    </row>
    <row r="84" spans="1:28" ht="30" x14ac:dyDescent="0.25">
      <c r="A84" s="1252"/>
      <c r="B84" s="1248"/>
      <c r="C84" s="896">
        <f>'Marketing SoA'!B51</f>
        <v>46</v>
      </c>
      <c r="D84" s="896" t="str">
        <f>'Marketing SoA'!C51</f>
        <v>Duplex Maisonette</v>
      </c>
      <c r="E84" s="896" t="str">
        <f>'Marketing SoA'!D51</f>
        <v>SF MT DM</v>
      </c>
      <c r="F84" s="896">
        <f>'Marketing SoA'!E51</f>
        <v>75.3</v>
      </c>
      <c r="G84" s="945">
        <f>'Marketing SoA'!F51</f>
        <v>810.52166999999997</v>
      </c>
      <c r="H84" s="896" t="str">
        <f>'Marketing SoA'!G51</f>
        <v>2B3P</v>
      </c>
      <c r="I84" s="896">
        <f>'Marketing SoA'!H51</f>
        <v>2</v>
      </c>
      <c r="J84" s="896" t="str">
        <f>'Marketing SoA'!I51</f>
        <v>-</v>
      </c>
      <c r="K84" s="896" t="str">
        <f>'Marketing SoA'!J51</f>
        <v>On-site within MSCP</v>
      </c>
      <c r="L84" s="896" t="str">
        <f>'Marketing SoA'!K51</f>
        <v>Community Amenity</v>
      </c>
      <c r="M84" s="909" t="str">
        <f>'Marketing SoA'!L51</f>
        <v>-</v>
      </c>
      <c r="O84" s="1191"/>
      <c r="P84" s="1192"/>
      <c r="Q84" s="1192"/>
      <c r="R84" s="1192"/>
      <c r="S84" s="1193"/>
      <c r="U84" s="1154"/>
      <c r="V84" s="155" t="s">
        <v>29</v>
      </c>
      <c r="W84" s="782">
        <f>COUNTIFS('Plot By Plot SoA'!$E$51:$E$101,"Y",'Plot By Plot SoA'!$L$51:$L$101,"Y")+COUNTIFS('Plot By Plot SoA'!$E$342:$E$353,"Y",'Plot By Plot SoA'!$L$342:$L$353,"Y")</f>
        <v>8</v>
      </c>
      <c r="X84" s="198">
        <f>COUNTIFS('Plot By Plot SoA'!$F$51:$F$101,"Y",'Plot By Plot SoA'!$L$51:$L$101,"Y")+COUNTIFS('Plot By Plot SoA'!$F$342:$F$353,"Y",'Plot By Plot SoA'!$L$342:$L$353,"Y")</f>
        <v>0</v>
      </c>
      <c r="Y84" s="770">
        <f>COUNTIFS('Plot By Plot SoA'!$G$51:$G$101,"Y",'Plot By Plot SoA'!$L$51:$L$101,"Y")+COUNTIFS('Plot By Plot SoA'!$G$342:$G$353,"Y",'Plot By Plot SoA'!$L$342:$L$353,"Y")</f>
        <v>7</v>
      </c>
      <c r="Z84" s="770">
        <f>COUNTIFS('Plot By Plot SoA'!$H$51:$H$101,"Y",'Plot By Plot SoA'!$L$51:$L$101,"Y")+COUNTIFS('Plot By Plot SoA'!$H$342:$H$353,"Y",'Plot By Plot SoA'!$L$342:$L$353,"Y")</f>
        <v>0</v>
      </c>
      <c r="AA84" s="779">
        <f>COUNTIFS('Plot By Plot SoA'!$I$51:$I$101,"Y",'Plot By Plot SoA'!$L$51:$L$101,"Y")+COUNTIFS('Plot By Plot SoA'!$I$342:$I$353,"Y",'Plot By Plot SoA'!$L$342:$L$353,"Y")</f>
        <v>0</v>
      </c>
      <c r="AB84" s="805">
        <f>SUM(W84:AA84)</f>
        <v>15</v>
      </c>
    </row>
    <row r="85" spans="1:28" ht="30" x14ac:dyDescent="0.25">
      <c r="A85" s="1252"/>
      <c r="B85" s="1248"/>
      <c r="C85" s="896">
        <f>'Marketing SoA'!B52</f>
        <v>47</v>
      </c>
      <c r="D85" s="896" t="str">
        <f>'Marketing SoA'!C52</f>
        <v>Duplex Maisonette</v>
      </c>
      <c r="E85" s="896" t="str">
        <f>'Marketing SoA'!D52</f>
        <v>SF MT DM</v>
      </c>
      <c r="F85" s="896">
        <f>'Marketing SoA'!E52</f>
        <v>94.3</v>
      </c>
      <c r="G85" s="945">
        <f>'Marketing SoA'!F52</f>
        <v>1015.03577</v>
      </c>
      <c r="H85" s="896" t="str">
        <f>'Marketing SoA'!G52</f>
        <v>3B5P</v>
      </c>
      <c r="I85" s="896">
        <f>'Marketing SoA'!H52</f>
        <v>2</v>
      </c>
      <c r="J85" s="896" t="str">
        <f>'Marketing SoA'!I52</f>
        <v>-</v>
      </c>
      <c r="K85" s="896" t="str">
        <f>'Marketing SoA'!J52</f>
        <v>On-site within MSCP</v>
      </c>
      <c r="L85" s="896" t="str">
        <f>'Marketing SoA'!K52</f>
        <v>Community Amenity</v>
      </c>
      <c r="M85" s="909" t="str">
        <f>'Marketing SoA'!L52</f>
        <v>-</v>
      </c>
      <c r="O85" s="1191"/>
      <c r="P85" s="1192"/>
      <c r="Q85" s="1192"/>
      <c r="R85" s="1192"/>
      <c r="S85" s="1193"/>
      <c r="U85" s="1154"/>
      <c r="V85" s="155" t="s">
        <v>30</v>
      </c>
      <c r="W85" s="784">
        <f>COUNTIFS('Plot By Plot SoA'!$E$51:$E$101,"Y",'Plot By Plot SoA'!$M$51:$M$101,"Y")+COUNTIFS('Plot By Plot SoA'!$E$342:$E$353,"Y",'Plot By Plot SoA'!$M$342:$M$353,"Y")</f>
        <v>16</v>
      </c>
      <c r="X85" s="180">
        <f>COUNTIFS('Plot By Plot SoA'!$F$51:$F$101,"Y",'Plot By Plot SoA'!$M$51:$M$101,"Y")+COUNTIFS('Plot By Plot SoA'!$F$342:$F$353,"Y",'Plot By Plot SoA'!$M$342:$M$353,"Y")</f>
        <v>0</v>
      </c>
      <c r="Y85" s="787">
        <f>COUNTIFS('Plot By Plot SoA'!$G$51:$G$101,"Y",'Plot By Plot SoA'!$M$51:$M$101,"Y")+COUNTIFS('Plot By Plot SoA'!$G$342:$G$353,"Y",'Plot By Plot SoA'!$M$342:$M$353,"Y")</f>
        <v>9</v>
      </c>
      <c r="Z85" s="787">
        <f>COUNTIFS('Plot By Plot SoA'!$H$51:$H$101,"Y",'Plot By Plot SoA'!$M$51:$M$101,"Y")+COUNTIFS('Plot By Plot SoA'!$H$342:$H$353,"Y",'Plot By Plot SoA'!$M$342:$M$353,"Y")</f>
        <v>0</v>
      </c>
      <c r="AA85" s="785">
        <f>COUNTIFS('Plot By Plot SoA'!$I$51:$I$101,"Y",'Plot By Plot SoA'!$M$51:$M$101,"Y")+COUNTIFS('Plot By Plot SoA'!$I$342:$I$353,"Y",'Plot By Plot SoA'!$M$342:$M$353,"Y")</f>
        <v>0</v>
      </c>
      <c r="AB85" s="805">
        <f>SUM(W85:AA85)</f>
        <v>25</v>
      </c>
    </row>
    <row r="86" spans="1:28" ht="45.75" thickBot="1" x14ac:dyDescent="0.3">
      <c r="A86" s="1252"/>
      <c r="B86" s="1248"/>
      <c r="C86" s="896">
        <f>'Marketing SoA'!B53</f>
        <v>48</v>
      </c>
      <c r="D86" s="896" t="str">
        <f>'Marketing SoA'!C53</f>
        <v>House</v>
      </c>
      <c r="E86" s="896" t="str">
        <f>'Marketing SoA'!D53</f>
        <v>EoT House</v>
      </c>
      <c r="F86" s="896">
        <f>'Marketing SoA'!E53</f>
        <v>107.5</v>
      </c>
      <c r="G86" s="945">
        <f>'Marketing SoA'!F53</f>
        <v>1157.11925</v>
      </c>
      <c r="H86" s="896" t="str">
        <f>'Marketing SoA'!G53</f>
        <v>2B4P</v>
      </c>
      <c r="I86" s="896">
        <f>'Marketing SoA'!H53</f>
        <v>3</v>
      </c>
      <c r="J86" s="896" t="str">
        <f>'Marketing SoA'!I53</f>
        <v>Y</v>
      </c>
      <c r="K86" s="896" t="str">
        <f>'Marketing SoA'!J53</f>
        <v>On-plot Allocated Parking</v>
      </c>
      <c r="L86" s="896" t="str">
        <f>'Marketing SoA'!K53</f>
        <v>Roof Terrace</v>
      </c>
      <c r="M86" s="909">
        <f>'Marketing SoA'!L53</f>
        <v>277</v>
      </c>
      <c r="O86" s="1191"/>
      <c r="P86" s="1192"/>
      <c r="Q86" s="1192"/>
      <c r="R86" s="1192"/>
      <c r="S86" s="1193"/>
      <c r="U86" s="1154"/>
      <c r="V86" s="165" t="s">
        <v>62</v>
      </c>
      <c r="W86" s="783">
        <f>COUNTIFS('Plot By Plot SoA'!$E$51:$E$101,"Y",'Plot By Plot SoA'!$N$51:$N$101,"Y")+COUNTIFS('Plot By Plot SoA'!$E$342:$E$353,"Y",'Plot By Plot SoA'!$N$342:$N$353,"Y")</f>
        <v>5</v>
      </c>
      <c r="X86" s="790">
        <f>COUNTIFS('Plot By Plot SoA'!$F$51:$F$101,"Y",'Plot By Plot SoA'!$N$51:$N$101,"Y")+COUNTIFS('Plot By Plot SoA'!$F$342:$F$353,"Y",'Plot By Plot SoA'!$N$342:$N$353,"Y")</f>
        <v>0</v>
      </c>
      <c r="Y86" s="788">
        <f>COUNTIFS('Plot By Plot SoA'!$G$51:$G$101,"Y",'Plot By Plot SoA'!$N$51:$N$101,"Y")+COUNTIFS('Plot By Plot SoA'!$G$342:$G$353,"Y",'Plot By Plot SoA'!$N$342:$N$353,"Y")</f>
        <v>0</v>
      </c>
      <c r="Z86" s="788">
        <f>COUNTIFS('Plot By Plot SoA'!$H$51:$H$101,"Y",'Plot By Plot SoA'!$N$51:$N$101,"Y")+COUNTIFS('Plot By Plot SoA'!$H$342:$H$353,"Y",'Plot By Plot SoA'!$N$342:$N$353,"Y")</f>
        <v>0</v>
      </c>
      <c r="AA86" s="162">
        <f>COUNTIFS('Plot By Plot SoA'!$I$51:$I$101,"Y",'Plot By Plot SoA'!$N$51:$N$101,"Y")+COUNTIFS('Plot By Plot SoA'!$I$342:$I$353,"Y",'Plot By Plot SoA'!$N$342:$N$353,"Y")</f>
        <v>0</v>
      </c>
      <c r="AB86" s="656">
        <f>SUM(W86:AA86)</f>
        <v>5</v>
      </c>
    </row>
    <row r="87" spans="1:28" ht="45.75" thickBot="1" x14ac:dyDescent="0.3">
      <c r="A87" s="1252"/>
      <c r="B87" s="1248"/>
      <c r="C87" s="896">
        <f>'Marketing SoA'!B54</f>
        <v>49</v>
      </c>
      <c r="D87" s="896" t="str">
        <f>'Marketing SoA'!C54</f>
        <v>House</v>
      </c>
      <c r="E87" s="896" t="str">
        <f>'Marketing SoA'!D54</f>
        <v>MT House</v>
      </c>
      <c r="F87" s="896">
        <f>'Marketing SoA'!E54</f>
        <v>105.1</v>
      </c>
      <c r="G87" s="945">
        <f>'Marketing SoA'!F54</f>
        <v>1131.2858899999999</v>
      </c>
      <c r="H87" s="896" t="str">
        <f>'Marketing SoA'!G54</f>
        <v>3B4P</v>
      </c>
      <c r="I87" s="896">
        <f>'Marketing SoA'!H54</f>
        <v>3</v>
      </c>
      <c r="J87" s="896" t="str">
        <f>'Marketing SoA'!I54</f>
        <v>-</v>
      </c>
      <c r="K87" s="896" t="str">
        <f>'Marketing SoA'!J54</f>
        <v>On-plot Allocated Parking</v>
      </c>
      <c r="L87" s="896" t="str">
        <f>'Marketing SoA'!K54</f>
        <v>Roof Terrace</v>
      </c>
      <c r="M87" s="909">
        <f>'Marketing SoA'!L54</f>
        <v>186</v>
      </c>
      <c r="O87" s="1191"/>
      <c r="P87" s="1192"/>
      <c r="Q87" s="1192"/>
      <c r="R87" s="1192"/>
      <c r="S87" s="1193"/>
      <c r="U87" s="1154"/>
      <c r="V87" s="648" t="s">
        <v>52</v>
      </c>
      <c r="W87" s="480">
        <f>SUM(W83:W86)</f>
        <v>29</v>
      </c>
      <c r="X87" s="649">
        <f>SUM(X84:X86)</f>
        <v>0</v>
      </c>
      <c r="Y87" s="480">
        <f>SUM(Y83:Y86)</f>
        <v>25</v>
      </c>
      <c r="Z87" s="480">
        <f>SUM(Z83:Z86)</f>
        <v>0</v>
      </c>
      <c r="AA87" s="480">
        <f>SUM(AA83:AA86)</f>
        <v>0</v>
      </c>
      <c r="AB87" s="891">
        <f>SUM(W87:AA87)</f>
        <v>54</v>
      </c>
    </row>
    <row r="88" spans="1:28" ht="45.75" thickBot="1" x14ac:dyDescent="0.3">
      <c r="A88" s="1252"/>
      <c r="B88" s="1248"/>
      <c r="C88" s="896">
        <f>'Marketing SoA'!B55</f>
        <v>50</v>
      </c>
      <c r="D88" s="896" t="str">
        <f>'Marketing SoA'!C55</f>
        <v>House</v>
      </c>
      <c r="E88" s="896" t="str">
        <f>'Marketing SoA'!D55</f>
        <v>MT House</v>
      </c>
      <c r="F88" s="896">
        <f>'Marketing SoA'!E55</f>
        <v>129</v>
      </c>
      <c r="G88" s="945">
        <f>'Marketing SoA'!F55</f>
        <v>1388.5430999999999</v>
      </c>
      <c r="H88" s="896" t="str">
        <f>'Marketing SoA'!G55</f>
        <v>4B6P</v>
      </c>
      <c r="I88" s="896">
        <f>'Marketing SoA'!H55</f>
        <v>3</v>
      </c>
      <c r="J88" s="896" t="str">
        <f>'Marketing SoA'!I55</f>
        <v>-</v>
      </c>
      <c r="K88" s="896" t="str">
        <f>'Marketing SoA'!J55</f>
        <v>On-plot Allocated Parking</v>
      </c>
      <c r="L88" s="896" t="str">
        <f>'Marketing SoA'!K55</f>
        <v>Roof Terrace</v>
      </c>
      <c r="M88" s="909">
        <f>'Marketing SoA'!L55</f>
        <v>75</v>
      </c>
      <c r="O88" s="1191"/>
      <c r="P88" s="1192"/>
      <c r="Q88" s="1192"/>
      <c r="R88" s="1192"/>
      <c r="S88" s="1193"/>
      <c r="U88" s="1154"/>
    </row>
    <row r="89" spans="1:28" ht="30" x14ac:dyDescent="0.25">
      <c r="A89" s="1252"/>
      <c r="B89" s="1248"/>
      <c r="C89" s="896">
        <f>'Marketing SoA'!B56</f>
        <v>51</v>
      </c>
      <c r="D89" s="896" t="str">
        <f>'Marketing SoA'!C56</f>
        <v>House</v>
      </c>
      <c r="E89" s="896" t="str">
        <f>'Marketing SoA'!D56</f>
        <v>EoT House</v>
      </c>
      <c r="F89" s="896">
        <f>'Marketing SoA'!E56</f>
        <v>101.3</v>
      </c>
      <c r="G89" s="945">
        <f>'Marketing SoA'!F56</f>
        <v>1090.3830699999999</v>
      </c>
      <c r="H89" s="896" t="str">
        <f>'Marketing SoA'!G56</f>
        <v>3B5P</v>
      </c>
      <c r="I89" s="896">
        <f>'Marketing SoA'!H56</f>
        <v>3</v>
      </c>
      <c r="J89" s="896" t="str">
        <f>'Marketing SoA'!I56</f>
        <v>-</v>
      </c>
      <c r="K89" s="896" t="str">
        <f>'Marketing SoA'!J56</f>
        <v>On-site within MSCP</v>
      </c>
      <c r="L89" s="896" t="str">
        <f>'Marketing SoA'!K56</f>
        <v>Shared Garden</v>
      </c>
      <c r="M89" s="909" t="str">
        <f>'Marketing SoA'!L56</f>
        <v>-</v>
      </c>
      <c r="O89" s="1191"/>
      <c r="P89" s="1192"/>
      <c r="Q89" s="1192"/>
      <c r="R89" s="1192"/>
      <c r="S89" s="1193"/>
      <c r="U89" s="1154"/>
      <c r="V89" s="1139" t="s">
        <v>413</v>
      </c>
      <c r="W89" s="1140"/>
      <c r="X89" s="1140"/>
      <c r="Y89" s="1140"/>
      <c r="Z89" s="1140"/>
      <c r="AA89" s="1141"/>
    </row>
    <row r="90" spans="1:28" ht="45" x14ac:dyDescent="0.35">
      <c r="A90" s="1252"/>
      <c r="B90" s="1248"/>
      <c r="C90" s="896">
        <f>'Marketing SoA'!B57</f>
        <v>52</v>
      </c>
      <c r="D90" s="896" t="str">
        <f>'Marketing SoA'!C57</f>
        <v>House</v>
      </c>
      <c r="E90" s="896" t="str">
        <f>'Marketing SoA'!D57</f>
        <v>Semi-Detached House</v>
      </c>
      <c r="F90" s="896">
        <f>'Marketing SoA'!E57</f>
        <v>84.8</v>
      </c>
      <c r="G90" s="945">
        <f>'Marketing SoA'!F57</f>
        <v>912.77871999999991</v>
      </c>
      <c r="H90" s="896" t="str">
        <f>'Marketing SoA'!G57</f>
        <v>2B4P</v>
      </c>
      <c r="I90" s="896">
        <f>'Marketing SoA'!H57</f>
        <v>2</v>
      </c>
      <c r="J90" s="896" t="str">
        <f>'Marketing SoA'!I57</f>
        <v>-</v>
      </c>
      <c r="K90" s="896" t="str">
        <f>'Marketing SoA'!J57</f>
        <v>On-plot Allocated Parking</v>
      </c>
      <c r="L90" s="896" t="str">
        <f>'Marketing SoA'!K57</f>
        <v>Private Rear Garden</v>
      </c>
      <c r="M90" s="909">
        <f>'Marketing SoA'!L57</f>
        <v>147</v>
      </c>
      <c r="O90" s="1191"/>
      <c r="P90" s="1192"/>
      <c r="Q90" s="1192"/>
      <c r="R90" s="1192"/>
      <c r="S90" s="1193"/>
      <c r="U90" s="1154"/>
      <c r="V90" s="1142"/>
      <c r="W90" s="1143"/>
      <c r="X90" s="1143"/>
      <c r="Y90" s="1144"/>
      <c r="Z90" s="644" t="s">
        <v>243</v>
      </c>
      <c r="AA90" s="645" t="s">
        <v>242</v>
      </c>
    </row>
    <row r="91" spans="1:28" ht="45.75" thickBot="1" x14ac:dyDescent="0.3">
      <c r="A91" s="1252"/>
      <c r="B91" s="1248"/>
      <c r="C91" s="896">
        <f>'Marketing SoA'!B58</f>
        <v>53</v>
      </c>
      <c r="D91" s="896" t="str">
        <f>'Marketing SoA'!C58</f>
        <v>House</v>
      </c>
      <c r="E91" s="896" t="str">
        <f>'Marketing SoA'!D58</f>
        <v>Semi-Detached House</v>
      </c>
      <c r="F91" s="896">
        <f>'Marketing SoA'!E58</f>
        <v>127.7</v>
      </c>
      <c r="G91" s="945">
        <f>'Marketing SoA'!F58</f>
        <v>1374.5500299999999</v>
      </c>
      <c r="H91" s="896" t="str">
        <f>'Marketing SoA'!G58</f>
        <v>4B7P</v>
      </c>
      <c r="I91" s="896">
        <f>'Marketing SoA'!H58</f>
        <v>3</v>
      </c>
      <c r="J91" s="896" t="str">
        <f>'Marketing SoA'!I58</f>
        <v>-</v>
      </c>
      <c r="K91" s="896" t="str">
        <f>'Marketing SoA'!J58</f>
        <v>On-plot Allocated Parking</v>
      </c>
      <c r="L91" s="896" t="str">
        <f>'Marketing SoA'!K58</f>
        <v>Private Rear Garden</v>
      </c>
      <c r="M91" s="909">
        <f>'Marketing SoA'!L58</f>
        <v>257</v>
      </c>
      <c r="O91" s="1191"/>
      <c r="P91" s="1192"/>
      <c r="Q91" s="1192"/>
      <c r="R91" s="1192"/>
      <c r="S91" s="1193"/>
      <c r="U91" s="1154"/>
      <c r="V91" s="1145" t="s">
        <v>633</v>
      </c>
      <c r="W91" s="1146"/>
      <c r="X91" s="1146"/>
      <c r="Y91" s="1147"/>
      <c r="Z91" s="776">
        <f>SUM(F81:F134)</f>
        <v>4733.3999999999996</v>
      </c>
      <c r="AA91" s="890">
        <f>SUM(Z91*10.764)</f>
        <v>50950.317599999995</v>
      </c>
    </row>
    <row r="92" spans="1:28" ht="45.75" thickBot="1" x14ac:dyDescent="0.3">
      <c r="A92" s="1252"/>
      <c r="B92" s="1248"/>
      <c r="C92" s="896">
        <f>'Marketing SoA'!B59</f>
        <v>54</v>
      </c>
      <c r="D92" s="896" t="str">
        <f>'Marketing SoA'!C59</f>
        <v>House</v>
      </c>
      <c r="E92" s="896" t="str">
        <f>'Marketing SoA'!D59</f>
        <v>Semi-Detached House</v>
      </c>
      <c r="F92" s="896">
        <f>'Marketing SoA'!E59</f>
        <v>109.2</v>
      </c>
      <c r="G92" s="945">
        <f>'Marketing SoA'!F59</f>
        <v>1175.41788</v>
      </c>
      <c r="H92" s="896" t="str">
        <f>'Marketing SoA'!G59</f>
        <v>4B5P</v>
      </c>
      <c r="I92" s="896">
        <f>'Marketing SoA'!H59</f>
        <v>3</v>
      </c>
      <c r="J92" s="896" t="str">
        <f>'Marketing SoA'!I59</f>
        <v>-</v>
      </c>
      <c r="K92" s="896" t="str">
        <f>'Marketing SoA'!J59</f>
        <v>On-plot Allocated Parking</v>
      </c>
      <c r="L92" s="896" t="str">
        <f>'Marketing SoA'!K59</f>
        <v>Private Rear Garden</v>
      </c>
      <c r="M92" s="909">
        <f>'Marketing SoA'!L59</f>
        <v>551</v>
      </c>
      <c r="O92" s="1191"/>
      <c r="P92" s="1192"/>
      <c r="Q92" s="1192"/>
      <c r="R92" s="1192"/>
      <c r="S92" s="1193"/>
      <c r="U92" s="1154"/>
      <c r="V92" s="1148" t="s">
        <v>414</v>
      </c>
      <c r="W92" s="1149"/>
      <c r="X92" s="1149"/>
      <c r="Y92" s="1149"/>
      <c r="Z92" s="647">
        <f>SUM(Z91:Z91)</f>
        <v>4733.3999999999996</v>
      </c>
      <c r="AA92" s="650">
        <f>SUM(AA91:AA91)</f>
        <v>50950.317599999995</v>
      </c>
    </row>
    <row r="93" spans="1:28" ht="45" x14ac:dyDescent="0.25">
      <c r="A93" s="1252"/>
      <c r="B93" s="1248"/>
      <c r="C93" s="896">
        <f>'Marketing SoA'!B60</f>
        <v>55</v>
      </c>
      <c r="D93" s="896" t="str">
        <f>'Marketing SoA'!C60</f>
        <v>House</v>
      </c>
      <c r="E93" s="896" t="str">
        <f>'Marketing SoA'!D60</f>
        <v>Semi-Detached House</v>
      </c>
      <c r="F93" s="896">
        <f>'Marketing SoA'!E60</f>
        <v>100.8</v>
      </c>
      <c r="G93" s="945">
        <f>'Marketing SoA'!F60</f>
        <v>1085.0011199999999</v>
      </c>
      <c r="H93" s="896" t="str">
        <f>'Marketing SoA'!G60</f>
        <v>3B5P</v>
      </c>
      <c r="I93" s="896">
        <f>'Marketing SoA'!H60</f>
        <v>3</v>
      </c>
      <c r="J93" s="896" t="str">
        <f>'Marketing SoA'!I60</f>
        <v>Y</v>
      </c>
      <c r="K93" s="896" t="str">
        <f>'Marketing SoA'!J60</f>
        <v>On-site within MSCP</v>
      </c>
      <c r="L93" s="896" t="str">
        <f>'Marketing SoA'!K60</f>
        <v>Roof Terrace</v>
      </c>
      <c r="M93" s="909">
        <f>'Marketing SoA'!L60</f>
        <v>284</v>
      </c>
      <c r="O93" s="1191"/>
      <c r="P93" s="1192"/>
      <c r="Q93" s="1192"/>
      <c r="R93" s="1192"/>
      <c r="S93" s="1193"/>
    </row>
    <row r="94" spans="1:28" ht="30" x14ac:dyDescent="0.25">
      <c r="A94" s="1252"/>
      <c r="B94" s="1248"/>
      <c r="C94" s="896">
        <f>'Marketing SoA'!B61</f>
        <v>56</v>
      </c>
      <c r="D94" s="896" t="str">
        <f>'Marketing SoA'!C61</f>
        <v>House</v>
      </c>
      <c r="E94" s="896" t="str">
        <f>'Marketing SoA'!D61</f>
        <v>EoT House</v>
      </c>
      <c r="F94" s="896">
        <f>'Marketing SoA'!E61</f>
        <v>97.1</v>
      </c>
      <c r="G94" s="945">
        <f>'Marketing SoA'!F61</f>
        <v>1045.1746899999998</v>
      </c>
      <c r="H94" s="896" t="str">
        <f>'Marketing SoA'!G61</f>
        <v>3B4P</v>
      </c>
      <c r="I94" s="896">
        <f>'Marketing SoA'!H61</f>
        <v>3</v>
      </c>
      <c r="J94" s="896" t="str">
        <f>'Marketing SoA'!I61</f>
        <v>-</v>
      </c>
      <c r="K94" s="896" t="str">
        <f>'Marketing SoA'!J61</f>
        <v>On-site within MSCP</v>
      </c>
      <c r="L94" s="896" t="str">
        <f>'Marketing SoA'!K61</f>
        <v>Roof Terrace</v>
      </c>
      <c r="M94" s="909">
        <f>'Marketing SoA'!L61</f>
        <v>304</v>
      </c>
      <c r="O94" s="1191"/>
      <c r="P94" s="1192"/>
      <c r="Q94" s="1192"/>
      <c r="R94" s="1192"/>
      <c r="S94" s="1193"/>
    </row>
    <row r="95" spans="1:28" ht="30" x14ac:dyDescent="0.25">
      <c r="A95" s="1252"/>
      <c r="B95" s="1248"/>
      <c r="C95" s="896">
        <f>'Marketing SoA'!B62</f>
        <v>57</v>
      </c>
      <c r="D95" s="896" t="str">
        <f>'Marketing SoA'!C62</f>
        <v>House</v>
      </c>
      <c r="E95" s="896" t="str">
        <f>'Marketing SoA'!D62</f>
        <v>MT House</v>
      </c>
      <c r="F95" s="896">
        <f>'Marketing SoA'!E62</f>
        <v>97.1</v>
      </c>
      <c r="G95" s="945">
        <f>'Marketing SoA'!F62</f>
        <v>1045.1746899999998</v>
      </c>
      <c r="H95" s="896" t="str">
        <f>'Marketing SoA'!G62</f>
        <v>3B4P</v>
      </c>
      <c r="I95" s="896">
        <f>'Marketing SoA'!H62</f>
        <v>3</v>
      </c>
      <c r="J95" s="896" t="str">
        <f>'Marketing SoA'!I62</f>
        <v>-</v>
      </c>
      <c r="K95" s="896" t="str">
        <f>'Marketing SoA'!J62</f>
        <v>On-site within MSCP</v>
      </c>
      <c r="L95" s="896" t="str">
        <f>'Marketing SoA'!K62</f>
        <v>Roof Terrace</v>
      </c>
      <c r="M95" s="909">
        <f>'Marketing SoA'!L62</f>
        <v>79</v>
      </c>
      <c r="O95" s="1191"/>
      <c r="P95" s="1192"/>
      <c r="Q95" s="1192"/>
      <c r="R95" s="1192"/>
      <c r="S95" s="1193"/>
    </row>
    <row r="96" spans="1:28" ht="30" x14ac:dyDescent="0.25">
      <c r="A96" s="1252"/>
      <c r="B96" s="1248"/>
      <c r="C96" s="896">
        <f>'Marketing SoA'!B63</f>
        <v>58</v>
      </c>
      <c r="D96" s="896" t="str">
        <f>'Marketing SoA'!C63</f>
        <v>Duplex Maisonette</v>
      </c>
      <c r="E96" s="896" t="str">
        <f>'Marketing SoA'!D63</f>
        <v>GF DM</v>
      </c>
      <c r="F96" s="896">
        <f>'Marketing SoA'!E63</f>
        <v>105.6</v>
      </c>
      <c r="G96" s="945">
        <f>'Marketing SoA'!F63</f>
        <v>1136.6678399999998</v>
      </c>
      <c r="H96" s="896" t="str">
        <f>'Marketing SoA'!G63</f>
        <v>3B5P</v>
      </c>
      <c r="I96" s="896">
        <f>'Marketing SoA'!H63</f>
        <v>2</v>
      </c>
      <c r="J96" s="896" t="str">
        <f>'Marketing SoA'!I63</f>
        <v>-</v>
      </c>
      <c r="K96" s="896" t="str">
        <f>'Marketing SoA'!J63</f>
        <v>On-site within MSCP</v>
      </c>
      <c r="L96" s="896" t="str">
        <f>'Marketing SoA'!K63</f>
        <v>Community Amenity</v>
      </c>
      <c r="M96" s="909" t="str">
        <f>'Marketing SoA'!L63</f>
        <v>-</v>
      </c>
      <c r="O96" s="1191"/>
      <c r="P96" s="1192"/>
      <c r="Q96" s="1192"/>
      <c r="R96" s="1192"/>
      <c r="S96" s="1193"/>
    </row>
    <row r="97" spans="1:19" ht="30" x14ac:dyDescent="0.25">
      <c r="A97" s="1252"/>
      <c r="B97" s="1248"/>
      <c r="C97" s="896">
        <f>'Marketing SoA'!B64</f>
        <v>59</v>
      </c>
      <c r="D97" s="896" t="str">
        <f>'Marketing SoA'!C64</f>
        <v>Duplex Maisonette</v>
      </c>
      <c r="E97" s="896" t="str">
        <f>'Marketing SoA'!D64</f>
        <v>GF DM</v>
      </c>
      <c r="F97" s="896">
        <f>'Marketing SoA'!E64</f>
        <v>96</v>
      </c>
      <c r="G97" s="945">
        <f>'Marketing SoA'!F64</f>
        <v>1033.3344</v>
      </c>
      <c r="H97" s="896" t="str">
        <f>'Marketing SoA'!G64</f>
        <v>3B5P</v>
      </c>
      <c r="I97" s="896">
        <f>'Marketing SoA'!H64</f>
        <v>2</v>
      </c>
      <c r="J97" s="896" t="str">
        <f>'Marketing SoA'!I64</f>
        <v>-</v>
      </c>
      <c r="K97" s="896" t="str">
        <f>'Marketing SoA'!J64</f>
        <v>On-site within MSCP</v>
      </c>
      <c r="L97" s="896" t="str">
        <f>'Marketing SoA'!K64</f>
        <v>Community Amenity</v>
      </c>
      <c r="M97" s="909" t="str">
        <f>'Marketing SoA'!L64</f>
        <v>-</v>
      </c>
      <c r="O97" s="1191"/>
      <c r="P97" s="1192"/>
      <c r="Q97" s="1192"/>
      <c r="R97" s="1192"/>
      <c r="S97" s="1193"/>
    </row>
    <row r="98" spans="1:19" ht="45" customHeight="1" x14ac:dyDescent="0.25">
      <c r="A98" s="1252"/>
      <c r="B98" s="1248"/>
      <c r="C98" s="896">
        <f>'Marketing SoA'!B65</f>
        <v>60</v>
      </c>
      <c r="D98" s="896" t="str">
        <f>'Marketing SoA'!C65</f>
        <v>House</v>
      </c>
      <c r="E98" s="896" t="str">
        <f>'Marketing SoA'!D65</f>
        <v>MT House</v>
      </c>
      <c r="F98" s="896">
        <f>'Marketing SoA'!E65</f>
        <v>106</v>
      </c>
      <c r="G98" s="945">
        <f>'Marketing SoA'!F65</f>
        <v>1140.9733999999999</v>
      </c>
      <c r="H98" s="896" t="str">
        <f>'Marketing SoA'!G65</f>
        <v>2B4P</v>
      </c>
      <c r="I98" s="896">
        <f>'Marketing SoA'!H65</f>
        <v>4</v>
      </c>
      <c r="J98" s="896" t="str">
        <f>'Marketing SoA'!I65</f>
        <v>-</v>
      </c>
      <c r="K98" s="896" t="str">
        <f>'Marketing SoA'!J65</f>
        <v>On-site within MSCP</v>
      </c>
      <c r="L98" s="896" t="str">
        <f>'Marketing SoA'!K65</f>
        <v>Frontage Amenity</v>
      </c>
      <c r="M98" s="909">
        <f>'Marketing SoA'!L65</f>
        <v>123</v>
      </c>
      <c r="O98" s="1191"/>
      <c r="P98" s="1192"/>
      <c r="Q98" s="1192"/>
      <c r="R98" s="1192"/>
      <c r="S98" s="1193"/>
    </row>
    <row r="99" spans="1:19" ht="126.75" customHeight="1" x14ac:dyDescent="0.25">
      <c r="A99" s="1252"/>
      <c r="B99" s="1248"/>
      <c r="C99" s="896">
        <f>'Marketing SoA'!B66</f>
        <v>61</v>
      </c>
      <c r="D99" s="896" t="str">
        <f>'Marketing SoA'!C66</f>
        <v>Duplex Maisonette</v>
      </c>
      <c r="E99" s="896" t="str">
        <f>'Marketing SoA'!D66</f>
        <v>GF DM</v>
      </c>
      <c r="F99" s="896">
        <f>'Marketing SoA'!E66</f>
        <v>96.7</v>
      </c>
      <c r="G99" s="945">
        <f>'Marketing SoA'!F66</f>
        <v>1040.86913</v>
      </c>
      <c r="H99" s="896" t="str">
        <f>'Marketing SoA'!G66</f>
        <v>3B4P</v>
      </c>
      <c r="I99" s="896">
        <f>'Marketing SoA'!H66</f>
        <v>2</v>
      </c>
      <c r="J99" s="896" t="str">
        <f>'Marketing SoA'!I66</f>
        <v>-</v>
      </c>
      <c r="K99" s="896" t="str">
        <f>'Marketing SoA'!J66</f>
        <v>On-plot Allocated Parking</v>
      </c>
      <c r="L99" s="896" t="str">
        <f>'Marketing SoA'!K66</f>
        <v>Community Amenity</v>
      </c>
      <c r="M99" s="909" t="str">
        <f>'Marketing SoA'!L66</f>
        <v>-</v>
      </c>
      <c r="O99" s="1191"/>
      <c r="P99" s="1192"/>
      <c r="Q99" s="1192"/>
      <c r="R99" s="1192"/>
      <c r="S99" s="1193"/>
    </row>
    <row r="100" spans="1:19" ht="45" x14ac:dyDescent="0.25">
      <c r="A100" s="1252"/>
      <c r="B100" s="1248"/>
      <c r="C100" s="896">
        <f>'Marketing SoA'!B67</f>
        <v>62</v>
      </c>
      <c r="D100" s="896" t="str">
        <f>'Marketing SoA'!C67</f>
        <v>Duplex Maisonette</v>
      </c>
      <c r="E100" s="896" t="str">
        <f>'Marketing SoA'!D67</f>
        <v>GF DM</v>
      </c>
      <c r="F100" s="896">
        <f>'Marketing SoA'!E67</f>
        <v>104.8</v>
      </c>
      <c r="G100" s="945">
        <f>'Marketing SoA'!F67</f>
        <v>1128.0567199999998</v>
      </c>
      <c r="H100" s="896" t="str">
        <f>'Marketing SoA'!G67</f>
        <v>3B4P</v>
      </c>
      <c r="I100" s="896">
        <f>'Marketing SoA'!H67</f>
        <v>2</v>
      </c>
      <c r="J100" s="896" t="str">
        <f>'Marketing SoA'!I67</f>
        <v>-</v>
      </c>
      <c r="K100" s="896" t="str">
        <f>'Marketing SoA'!J67</f>
        <v>On-plot Allocated Parking</v>
      </c>
      <c r="L100" s="896" t="str">
        <f>'Marketing SoA'!K67</f>
        <v>Community Amenity</v>
      </c>
      <c r="M100" s="909" t="str">
        <f>'Marketing SoA'!L67</f>
        <v>-</v>
      </c>
      <c r="O100" s="1191"/>
      <c r="P100" s="1192"/>
      <c r="Q100" s="1192"/>
      <c r="R100" s="1192"/>
      <c r="S100" s="1193"/>
    </row>
    <row r="101" spans="1:19" ht="30" x14ac:dyDescent="0.25">
      <c r="A101" s="1252"/>
      <c r="B101" s="1248"/>
      <c r="C101" s="896">
        <f>'Marketing SoA'!B68</f>
        <v>63</v>
      </c>
      <c r="D101" s="896" t="str">
        <f>'Marketing SoA'!C68</f>
        <v>House</v>
      </c>
      <c r="E101" s="896" t="str">
        <f>'Marketing SoA'!D68</f>
        <v>MT House</v>
      </c>
      <c r="F101" s="896">
        <f>'Marketing SoA'!E68</f>
        <v>86</v>
      </c>
      <c r="G101" s="945">
        <f>'Marketing SoA'!F68</f>
        <v>925.69539999999995</v>
      </c>
      <c r="H101" s="896" t="str">
        <f>'Marketing SoA'!G68</f>
        <v>2B4P</v>
      </c>
      <c r="I101" s="896">
        <f>'Marketing SoA'!H68</f>
        <v>4</v>
      </c>
      <c r="J101" s="896" t="str">
        <f>'Marketing SoA'!I68</f>
        <v>-</v>
      </c>
      <c r="K101" s="896" t="str">
        <f>'Marketing SoA'!J68</f>
        <v>On-site within MSCP</v>
      </c>
      <c r="L101" s="896" t="str">
        <f>'Marketing SoA'!K68</f>
        <v>Frontage Amenity</v>
      </c>
      <c r="M101" s="909">
        <f>'Marketing SoA'!L68</f>
        <v>81</v>
      </c>
      <c r="O101" s="1191"/>
      <c r="P101" s="1192"/>
      <c r="Q101" s="1192"/>
      <c r="R101" s="1192"/>
      <c r="S101" s="1193"/>
    </row>
    <row r="102" spans="1:19" ht="45" x14ac:dyDescent="0.25">
      <c r="A102" s="1252"/>
      <c r="B102" s="1248"/>
      <c r="C102" s="896">
        <f>'Marketing SoA'!B69</f>
        <v>64</v>
      </c>
      <c r="D102" s="896" t="str">
        <f>'Marketing SoA'!C69</f>
        <v>House</v>
      </c>
      <c r="E102" s="896" t="str">
        <f>'Marketing SoA'!D69</f>
        <v>MT House</v>
      </c>
      <c r="F102" s="896">
        <f>'Marketing SoA'!E69</f>
        <v>97.1</v>
      </c>
      <c r="G102" s="945">
        <f>'Marketing SoA'!F69</f>
        <v>1045.1746899999998</v>
      </c>
      <c r="H102" s="896" t="str">
        <f>'Marketing SoA'!G69</f>
        <v>3B4P</v>
      </c>
      <c r="I102" s="896">
        <f>'Marketing SoA'!H69</f>
        <v>3</v>
      </c>
      <c r="J102" s="896" t="str">
        <f>'Marketing SoA'!I69</f>
        <v>-</v>
      </c>
      <c r="K102" s="896" t="str">
        <f>'Marketing SoA'!J69</f>
        <v>On-plot Allocated Parking</v>
      </c>
      <c r="L102" s="896" t="str">
        <f>'Marketing SoA'!K69</f>
        <v>Roof Terrace</v>
      </c>
      <c r="M102" s="909">
        <f>'Marketing SoA'!L69</f>
        <v>79</v>
      </c>
      <c r="O102" s="1191"/>
      <c r="P102" s="1192"/>
      <c r="Q102" s="1192"/>
      <c r="R102" s="1192"/>
      <c r="S102" s="1193"/>
    </row>
    <row r="103" spans="1:19" ht="45" x14ac:dyDescent="0.25">
      <c r="A103" s="1252"/>
      <c r="B103" s="1248"/>
      <c r="C103" s="896">
        <f>'Marketing SoA'!B70</f>
        <v>65</v>
      </c>
      <c r="D103" s="896" t="str">
        <f>'Marketing SoA'!C70</f>
        <v>House</v>
      </c>
      <c r="E103" s="896" t="str">
        <f>'Marketing SoA'!D70</f>
        <v>EoT House</v>
      </c>
      <c r="F103" s="896">
        <f>'Marketing SoA'!E70</f>
        <v>97.1</v>
      </c>
      <c r="G103" s="945">
        <f>'Marketing SoA'!F70</f>
        <v>1045.1746899999998</v>
      </c>
      <c r="H103" s="896" t="str">
        <f>'Marketing SoA'!G70</f>
        <v>3B4P</v>
      </c>
      <c r="I103" s="896">
        <f>'Marketing SoA'!H70</f>
        <v>3</v>
      </c>
      <c r="J103" s="896" t="str">
        <f>'Marketing SoA'!I70</f>
        <v>-</v>
      </c>
      <c r="K103" s="896" t="str">
        <f>'Marketing SoA'!J70</f>
        <v>On-plot Allocated Parking</v>
      </c>
      <c r="L103" s="896" t="str">
        <f>'Marketing SoA'!K70</f>
        <v>Roof Terrace</v>
      </c>
      <c r="M103" s="909">
        <f>'Marketing SoA'!L70</f>
        <v>231</v>
      </c>
      <c r="O103" s="1191"/>
      <c r="P103" s="1192"/>
      <c r="Q103" s="1192"/>
      <c r="R103" s="1192"/>
      <c r="S103" s="1193"/>
    </row>
    <row r="104" spans="1:19" ht="45" x14ac:dyDescent="0.25">
      <c r="A104" s="1252"/>
      <c r="B104" s="1248"/>
      <c r="C104" s="896">
        <f>'Marketing SoA'!B71</f>
        <v>66</v>
      </c>
      <c r="D104" s="896" t="str">
        <f>'Marketing SoA'!C71</f>
        <v>House</v>
      </c>
      <c r="E104" s="896" t="str">
        <f>'Marketing SoA'!D71</f>
        <v>Semi-Detached House</v>
      </c>
      <c r="F104" s="896">
        <f>'Marketing SoA'!E71</f>
        <v>130</v>
      </c>
      <c r="G104" s="945">
        <f>'Marketing SoA'!F71</f>
        <v>1399.307</v>
      </c>
      <c r="H104" s="896" t="str">
        <f>'Marketing SoA'!G71</f>
        <v>4B7P</v>
      </c>
      <c r="I104" s="896">
        <f>'Marketing SoA'!H71</f>
        <v>3</v>
      </c>
      <c r="J104" s="896" t="str">
        <f>'Marketing SoA'!I71</f>
        <v>Y</v>
      </c>
      <c r="K104" s="896" t="str">
        <f>'Marketing SoA'!J71</f>
        <v>On-plot Allocated Parking</v>
      </c>
      <c r="L104" s="896" t="str">
        <f>'Marketing SoA'!K71</f>
        <v>Private Front Garden</v>
      </c>
      <c r="M104" s="909">
        <f>'Marketing SoA'!L71</f>
        <v>350</v>
      </c>
      <c r="O104" s="1191"/>
      <c r="P104" s="1192"/>
      <c r="Q104" s="1192"/>
      <c r="R104" s="1192"/>
      <c r="S104" s="1193"/>
    </row>
    <row r="105" spans="1:19" ht="30" x14ac:dyDescent="0.25">
      <c r="A105" s="1252"/>
      <c r="B105" s="1248"/>
      <c r="C105" s="896">
        <f>'Marketing SoA'!B72</f>
        <v>67</v>
      </c>
      <c r="D105" s="896" t="str">
        <f>'Marketing SoA'!C72</f>
        <v>House</v>
      </c>
      <c r="E105" s="896" t="str">
        <f>'Marketing SoA'!D72</f>
        <v>MT House</v>
      </c>
      <c r="F105" s="896">
        <f>'Marketing SoA'!E72</f>
        <v>84.2</v>
      </c>
      <c r="G105" s="945">
        <f>'Marketing SoA'!F72</f>
        <v>906.32038</v>
      </c>
      <c r="H105" s="896" t="str">
        <f>'Marketing SoA'!G72</f>
        <v>3B5P</v>
      </c>
      <c r="I105" s="896">
        <f>'Marketing SoA'!H72</f>
        <v>2</v>
      </c>
      <c r="J105" s="896" t="str">
        <f>'Marketing SoA'!I72</f>
        <v>-</v>
      </c>
      <c r="K105" s="896" t="str">
        <f>'Marketing SoA'!J72</f>
        <v>On-site within MSCP</v>
      </c>
      <c r="L105" s="896" t="str">
        <f>'Marketing SoA'!K72</f>
        <v>Private Rear Garden</v>
      </c>
      <c r="M105" s="909">
        <f>'Marketing SoA'!L72</f>
        <v>128</v>
      </c>
      <c r="O105" s="1191"/>
      <c r="P105" s="1192"/>
      <c r="Q105" s="1192"/>
      <c r="R105" s="1192"/>
      <c r="S105" s="1193"/>
    </row>
    <row r="106" spans="1:19" ht="45" x14ac:dyDescent="0.25">
      <c r="A106" s="1252"/>
      <c r="B106" s="1248"/>
      <c r="C106" s="896">
        <f>'Marketing SoA'!B73</f>
        <v>68</v>
      </c>
      <c r="D106" s="896" t="str">
        <f>'Marketing SoA'!C73</f>
        <v>House</v>
      </c>
      <c r="E106" s="896" t="str">
        <f>'Marketing SoA'!D73</f>
        <v>Semi-Detached House</v>
      </c>
      <c r="F106" s="896">
        <f>'Marketing SoA'!E73</f>
        <v>92.4</v>
      </c>
      <c r="G106" s="945">
        <f>'Marketing SoA'!F73</f>
        <v>994.58436000000006</v>
      </c>
      <c r="H106" s="896" t="str">
        <f>'Marketing SoA'!G73</f>
        <v>3B4P</v>
      </c>
      <c r="I106" s="896">
        <f>'Marketing SoA'!H73</f>
        <v>3</v>
      </c>
      <c r="J106" s="896" t="str">
        <f>'Marketing SoA'!I73</f>
        <v>Y</v>
      </c>
      <c r="K106" s="896" t="str">
        <f>'Marketing SoA'!J73</f>
        <v>On-site within MSCP</v>
      </c>
      <c r="L106" s="896" t="str">
        <f>'Marketing SoA'!K73</f>
        <v>Roof Terrace</v>
      </c>
      <c r="M106" s="909">
        <f>'Marketing SoA'!L73</f>
        <v>381</v>
      </c>
      <c r="O106" s="1191"/>
      <c r="P106" s="1192"/>
      <c r="Q106" s="1192"/>
      <c r="R106" s="1192"/>
      <c r="S106" s="1193"/>
    </row>
    <row r="107" spans="1:19" ht="45" x14ac:dyDescent="0.25">
      <c r="A107" s="1252"/>
      <c r="B107" s="1248"/>
      <c r="C107" s="896">
        <f>'Marketing SoA'!B74</f>
        <v>69</v>
      </c>
      <c r="D107" s="896" t="str">
        <f>'Marketing SoA'!C74</f>
        <v>House</v>
      </c>
      <c r="E107" s="896" t="str">
        <f>'Marketing SoA'!D74</f>
        <v>Semi-Detached House</v>
      </c>
      <c r="F107" s="896">
        <f>'Marketing SoA'!E74</f>
        <v>92.4</v>
      </c>
      <c r="G107" s="945">
        <f>'Marketing SoA'!F74</f>
        <v>994.58436000000006</v>
      </c>
      <c r="H107" s="896" t="str">
        <f>'Marketing SoA'!G74</f>
        <v>3B4P</v>
      </c>
      <c r="I107" s="896">
        <f>'Marketing SoA'!H74</f>
        <v>3</v>
      </c>
      <c r="J107" s="896" t="str">
        <f>'Marketing SoA'!I74</f>
        <v>Y</v>
      </c>
      <c r="K107" s="896" t="str">
        <f>'Marketing SoA'!J74</f>
        <v>On-plot Allocated Parking</v>
      </c>
      <c r="L107" s="896" t="str">
        <f>'Marketing SoA'!K74</f>
        <v>Roof Terrace</v>
      </c>
      <c r="M107" s="909">
        <f>'Marketing SoA'!L74</f>
        <v>381</v>
      </c>
      <c r="O107" s="1191"/>
      <c r="P107" s="1192"/>
      <c r="Q107" s="1192"/>
      <c r="R107" s="1192"/>
      <c r="S107" s="1193"/>
    </row>
    <row r="108" spans="1:19" ht="30" customHeight="1" x14ac:dyDescent="0.25">
      <c r="A108" s="1252"/>
      <c r="B108" s="1248"/>
      <c r="C108" s="896">
        <f>'Marketing SoA'!B75</f>
        <v>70</v>
      </c>
      <c r="D108" s="896" t="str">
        <f>'Marketing SoA'!C75</f>
        <v>House</v>
      </c>
      <c r="E108" s="896" t="str">
        <f>'Marketing SoA'!D75</f>
        <v>EoT House</v>
      </c>
      <c r="F108" s="896">
        <f>'Marketing SoA'!E75</f>
        <v>94.6</v>
      </c>
      <c r="G108" s="945">
        <f>'Marketing SoA'!F75</f>
        <v>1018.2649399999999</v>
      </c>
      <c r="H108" s="896" t="str">
        <f>'Marketing SoA'!G75</f>
        <v>3B5P</v>
      </c>
      <c r="I108" s="896">
        <f>'Marketing SoA'!H75</f>
        <v>3</v>
      </c>
      <c r="J108" s="896" t="str">
        <f>'Marketing SoA'!I75</f>
        <v>-</v>
      </c>
      <c r="K108" s="896" t="str">
        <f>'Marketing SoA'!J75</f>
        <v>On-plot Allocated Parking</v>
      </c>
      <c r="L108" s="896" t="str">
        <f>'Marketing SoA'!K75</f>
        <v>Private Front Garden</v>
      </c>
      <c r="M108" s="909">
        <f>'Marketing SoA'!L75</f>
        <v>485</v>
      </c>
      <c r="O108" s="1191"/>
      <c r="P108" s="1192"/>
      <c r="Q108" s="1192"/>
      <c r="R108" s="1192"/>
      <c r="S108" s="1193"/>
    </row>
    <row r="109" spans="1:19" ht="45" x14ac:dyDescent="0.25">
      <c r="A109" s="1252"/>
      <c r="B109" s="1248"/>
      <c r="C109" s="896">
        <f>'Marketing SoA'!B76</f>
        <v>71</v>
      </c>
      <c r="D109" s="896" t="str">
        <f>'Marketing SoA'!C76</f>
        <v>House</v>
      </c>
      <c r="E109" s="896" t="str">
        <f>'Marketing SoA'!D76</f>
        <v>MT House</v>
      </c>
      <c r="F109" s="896">
        <f>'Marketing SoA'!E76</f>
        <v>113.8</v>
      </c>
      <c r="G109" s="945">
        <f>'Marketing SoA'!F76</f>
        <v>1224.93182</v>
      </c>
      <c r="H109" s="896" t="str">
        <f>'Marketing SoA'!G76</f>
        <v>3B5P</v>
      </c>
      <c r="I109" s="896">
        <f>'Marketing SoA'!H76</f>
        <v>3</v>
      </c>
      <c r="J109" s="896" t="str">
        <f>'Marketing SoA'!I76</f>
        <v>Y</v>
      </c>
      <c r="K109" s="896" t="str">
        <f>'Marketing SoA'!J76</f>
        <v>On-plot Allocated Parking</v>
      </c>
      <c r="L109" s="896" t="str">
        <f>'Marketing SoA'!K76</f>
        <v>Community Amenity</v>
      </c>
      <c r="M109" s="909" t="str">
        <f>'Marketing SoA'!L76</f>
        <v>-</v>
      </c>
      <c r="O109" s="1191"/>
      <c r="P109" s="1192"/>
      <c r="Q109" s="1192"/>
      <c r="R109" s="1192"/>
      <c r="S109" s="1193"/>
    </row>
    <row r="110" spans="1:19" ht="45" x14ac:dyDescent="0.25">
      <c r="A110" s="1252"/>
      <c r="B110" s="1248"/>
      <c r="C110" s="896">
        <f>'Marketing SoA'!B77</f>
        <v>72</v>
      </c>
      <c r="D110" s="896" t="str">
        <f>'Marketing SoA'!C77</f>
        <v>House</v>
      </c>
      <c r="E110" s="896" t="str">
        <f>'Marketing SoA'!D77</f>
        <v>EoT House</v>
      </c>
      <c r="F110" s="896">
        <f>'Marketing SoA'!E77</f>
        <v>130</v>
      </c>
      <c r="G110" s="945">
        <f>'Marketing SoA'!F77</f>
        <v>1399.307</v>
      </c>
      <c r="H110" s="896" t="str">
        <f>'Marketing SoA'!G77</f>
        <v>4B7P</v>
      </c>
      <c r="I110" s="896">
        <f>'Marketing SoA'!H77</f>
        <v>3</v>
      </c>
      <c r="J110" s="896" t="str">
        <f>'Marketing SoA'!I77</f>
        <v>Y</v>
      </c>
      <c r="K110" s="896" t="str">
        <f>'Marketing SoA'!J77</f>
        <v>On-plot Allocated Parking</v>
      </c>
      <c r="L110" s="896" t="str">
        <f>'Marketing SoA'!K77</f>
        <v>Private Front Garden</v>
      </c>
      <c r="M110" s="909">
        <f>'Marketing SoA'!L77</f>
        <v>274</v>
      </c>
      <c r="O110" s="1191"/>
      <c r="P110" s="1192"/>
      <c r="Q110" s="1192"/>
      <c r="R110" s="1192"/>
      <c r="S110" s="1193"/>
    </row>
    <row r="111" spans="1:19" ht="30" x14ac:dyDescent="0.25">
      <c r="A111" s="1252"/>
      <c r="B111" s="1248"/>
      <c r="C111" s="896">
        <f>'Marketing SoA'!B78</f>
        <v>73</v>
      </c>
      <c r="D111" s="896" t="str">
        <f>'Marketing SoA'!C78</f>
        <v>Duplex Maisonette</v>
      </c>
      <c r="E111" s="896" t="str">
        <f>'Marketing SoA'!D78</f>
        <v>GF DM</v>
      </c>
      <c r="F111" s="896">
        <f>'Marketing SoA'!E78</f>
        <v>54.1</v>
      </c>
      <c r="G111" s="945">
        <f>'Marketing SoA'!F78</f>
        <v>582.32699000000002</v>
      </c>
      <c r="H111" s="896" t="str">
        <f>'Marketing SoA'!G78</f>
        <v>1B2P</v>
      </c>
      <c r="I111" s="896">
        <f>'Marketing SoA'!H78</f>
        <v>2</v>
      </c>
      <c r="J111" s="896" t="str">
        <f>'Marketing SoA'!I78</f>
        <v>-</v>
      </c>
      <c r="K111" s="896" t="str">
        <f>'Marketing SoA'!J78</f>
        <v>On-site within MSCP</v>
      </c>
      <c r="L111" s="896" t="str">
        <f>'Marketing SoA'!K78</f>
        <v>Frontage Amenity</v>
      </c>
      <c r="M111" s="909">
        <f>'Marketing SoA'!L78</f>
        <v>176</v>
      </c>
      <c r="O111" s="1191"/>
      <c r="P111" s="1192"/>
      <c r="Q111" s="1192"/>
      <c r="R111" s="1192"/>
      <c r="S111" s="1193"/>
    </row>
    <row r="112" spans="1:19" ht="30" x14ac:dyDescent="0.25">
      <c r="A112" s="1252"/>
      <c r="B112" s="1248"/>
      <c r="C112" s="896">
        <f>'Marketing SoA'!B79</f>
        <v>74</v>
      </c>
      <c r="D112" s="896" t="str">
        <f>'Marketing SoA'!C79</f>
        <v>Duplex Maisonette</v>
      </c>
      <c r="E112" s="896" t="str">
        <f>'Marketing SoA'!D79</f>
        <v>GF DM</v>
      </c>
      <c r="F112" s="896">
        <f>'Marketing SoA'!E79</f>
        <v>82.4</v>
      </c>
      <c r="G112" s="945">
        <f>'Marketing SoA'!F79</f>
        <v>886.94536000000005</v>
      </c>
      <c r="H112" s="896" t="str">
        <f>'Marketing SoA'!G79</f>
        <v>2B4P</v>
      </c>
      <c r="I112" s="896">
        <f>'Marketing SoA'!H79</f>
        <v>2</v>
      </c>
      <c r="J112" s="896" t="str">
        <f>'Marketing SoA'!I79</f>
        <v>-</v>
      </c>
      <c r="K112" s="896" t="str">
        <f>'Marketing SoA'!J79</f>
        <v>On-site within MSCP</v>
      </c>
      <c r="L112" s="896" t="str">
        <f>'Marketing SoA'!K79</f>
        <v>Frontage Amenity</v>
      </c>
      <c r="M112" s="909" t="str">
        <f>'Marketing SoA'!L79</f>
        <v>-</v>
      </c>
      <c r="O112" s="1191"/>
      <c r="P112" s="1192"/>
      <c r="Q112" s="1192"/>
      <c r="R112" s="1192"/>
      <c r="S112" s="1193"/>
    </row>
    <row r="113" spans="1:19" ht="30" x14ac:dyDescent="0.25">
      <c r="A113" s="1252"/>
      <c r="B113" s="1248"/>
      <c r="C113" s="896">
        <f>'Marketing SoA'!B80</f>
        <v>75</v>
      </c>
      <c r="D113" s="896" t="str">
        <f>'Marketing SoA'!C80</f>
        <v>Duplex Maisonette</v>
      </c>
      <c r="E113" s="896" t="str">
        <f>'Marketing SoA'!D80</f>
        <v>SF DM</v>
      </c>
      <c r="F113" s="896">
        <f>'Marketing SoA'!E80</f>
        <v>54.1</v>
      </c>
      <c r="G113" s="945">
        <f>'Marketing SoA'!F80</f>
        <v>582.32699000000002</v>
      </c>
      <c r="H113" s="896" t="str">
        <f>'Marketing SoA'!G80</f>
        <v>1B2P</v>
      </c>
      <c r="I113" s="896">
        <f>'Marketing SoA'!H80</f>
        <v>2</v>
      </c>
      <c r="J113" s="896" t="str">
        <f>'Marketing SoA'!I80</f>
        <v>-</v>
      </c>
      <c r="K113" s="896" t="str">
        <f>'Marketing SoA'!J80</f>
        <v>On-site within MSCP</v>
      </c>
      <c r="L113" s="896" t="str">
        <f>'Marketing SoA'!K80</f>
        <v>Community Amenity</v>
      </c>
      <c r="M113" s="909" t="str">
        <f>'Marketing SoA'!L80</f>
        <v>-</v>
      </c>
      <c r="O113" s="1191"/>
      <c r="P113" s="1192"/>
      <c r="Q113" s="1192"/>
      <c r="R113" s="1192"/>
      <c r="S113" s="1193"/>
    </row>
    <row r="114" spans="1:19" ht="30" x14ac:dyDescent="0.25">
      <c r="A114" s="1252"/>
      <c r="B114" s="1248"/>
      <c r="C114" s="896">
        <f>'Marketing SoA'!B81</f>
        <v>76</v>
      </c>
      <c r="D114" s="896" t="str">
        <f>'Marketing SoA'!C81</f>
        <v>Duplex Maisonette</v>
      </c>
      <c r="E114" s="896" t="str">
        <f>'Marketing SoA'!D81</f>
        <v>SF DM</v>
      </c>
      <c r="F114" s="896">
        <f>'Marketing SoA'!E81</f>
        <v>93.3</v>
      </c>
      <c r="G114" s="945">
        <f>'Marketing SoA'!F81</f>
        <v>1004.2718699999999</v>
      </c>
      <c r="H114" s="896" t="str">
        <f>'Marketing SoA'!G81</f>
        <v>3B5P</v>
      </c>
      <c r="I114" s="896">
        <f>'Marketing SoA'!H81</f>
        <v>2</v>
      </c>
      <c r="J114" s="896" t="str">
        <f>'Marketing SoA'!I81</f>
        <v>-</v>
      </c>
      <c r="K114" s="896" t="str">
        <f>'Marketing SoA'!J81</f>
        <v>On-site within MSCP</v>
      </c>
      <c r="L114" s="896" t="str">
        <f>'Marketing SoA'!K81</f>
        <v>Community Amenity</v>
      </c>
      <c r="M114" s="909" t="str">
        <f>'Marketing SoA'!L81</f>
        <v>-</v>
      </c>
      <c r="O114" s="1191"/>
      <c r="P114" s="1192"/>
      <c r="Q114" s="1192"/>
      <c r="R114" s="1192"/>
      <c r="S114" s="1193"/>
    </row>
    <row r="115" spans="1:19" ht="30" x14ac:dyDescent="0.25">
      <c r="A115" s="1252"/>
      <c r="B115" s="1248"/>
      <c r="C115" s="896">
        <f>'Marketing SoA'!B82</f>
        <v>77</v>
      </c>
      <c r="D115" s="896" t="str">
        <f>'Marketing SoA'!C82</f>
        <v>Duplex Maisonette</v>
      </c>
      <c r="E115" s="896" t="str">
        <f>'Marketing SoA'!D82</f>
        <v>SF DM</v>
      </c>
      <c r="F115" s="896">
        <f>'Marketing SoA'!E82</f>
        <v>72.7</v>
      </c>
      <c r="G115" s="945">
        <f>'Marketing SoA'!F82</f>
        <v>782.53552999999999</v>
      </c>
      <c r="H115" s="896" t="str">
        <f>'Marketing SoA'!G82</f>
        <v>2B3P</v>
      </c>
      <c r="I115" s="896">
        <f>'Marketing SoA'!H82</f>
        <v>2</v>
      </c>
      <c r="J115" s="896" t="str">
        <f>'Marketing SoA'!I82</f>
        <v>-</v>
      </c>
      <c r="K115" s="896" t="str">
        <f>'Marketing SoA'!J82</f>
        <v>On-site within MSCP</v>
      </c>
      <c r="L115" s="896" t="str">
        <f>'Marketing SoA'!K82</f>
        <v>Community Amenity</v>
      </c>
      <c r="M115" s="909" t="str">
        <f>'Marketing SoA'!L82</f>
        <v>-</v>
      </c>
      <c r="O115" s="1191"/>
      <c r="P115" s="1192"/>
      <c r="Q115" s="1192"/>
      <c r="R115" s="1192"/>
      <c r="S115" s="1193"/>
    </row>
    <row r="116" spans="1:19" ht="30" x14ac:dyDescent="0.25">
      <c r="A116" s="1252"/>
      <c r="B116" s="1248"/>
      <c r="C116" s="896">
        <f>'Marketing SoA'!B83</f>
        <v>78</v>
      </c>
      <c r="D116" s="896" t="str">
        <f>'Marketing SoA'!C83</f>
        <v>Duplex Maisonette</v>
      </c>
      <c r="E116" s="896" t="str">
        <f>'Marketing SoA'!D83</f>
        <v>SF DM</v>
      </c>
      <c r="F116" s="896">
        <f>'Marketing SoA'!E83</f>
        <v>78.599999999999994</v>
      </c>
      <c r="G116" s="945">
        <f>'Marketing SoA'!F83</f>
        <v>846.04253999999992</v>
      </c>
      <c r="H116" s="896" t="str">
        <f>'Marketing SoA'!G83</f>
        <v>2B3P</v>
      </c>
      <c r="I116" s="896">
        <f>'Marketing SoA'!H83</f>
        <v>2</v>
      </c>
      <c r="J116" s="896" t="str">
        <f>'Marketing SoA'!I83</f>
        <v>Y</v>
      </c>
      <c r="K116" s="896" t="str">
        <f>'Marketing SoA'!J83</f>
        <v>On-site within MSCP</v>
      </c>
      <c r="L116" s="896" t="str">
        <f>'Marketing SoA'!K83</f>
        <v>Community Amenity</v>
      </c>
      <c r="M116" s="909" t="str">
        <f>'Marketing SoA'!L83</f>
        <v>-</v>
      </c>
      <c r="O116" s="1191"/>
      <c r="P116" s="1192"/>
      <c r="Q116" s="1192"/>
      <c r="R116" s="1192"/>
      <c r="S116" s="1193"/>
    </row>
    <row r="117" spans="1:19" ht="30" x14ac:dyDescent="0.25">
      <c r="A117" s="1252"/>
      <c r="B117" s="1248"/>
      <c r="C117" s="896">
        <f>'Marketing SoA'!B84</f>
        <v>79</v>
      </c>
      <c r="D117" s="896" t="str">
        <f>'Marketing SoA'!C84</f>
        <v>Duplex Maisonette</v>
      </c>
      <c r="E117" s="896" t="str">
        <f>'Marketing SoA'!D84</f>
        <v>SF DM</v>
      </c>
      <c r="F117" s="896">
        <f>'Marketing SoA'!E84</f>
        <v>84.7</v>
      </c>
      <c r="G117" s="945">
        <f>'Marketing SoA'!F84</f>
        <v>911.70232999999996</v>
      </c>
      <c r="H117" s="896" t="str">
        <f>'Marketing SoA'!G84</f>
        <v>3B4P</v>
      </c>
      <c r="I117" s="896">
        <f>'Marketing SoA'!H84</f>
        <v>2</v>
      </c>
      <c r="J117" s="896" t="str">
        <f>'Marketing SoA'!I84</f>
        <v>-</v>
      </c>
      <c r="K117" s="896" t="str">
        <f>'Marketing SoA'!J84</f>
        <v>On-site within MSCP</v>
      </c>
      <c r="L117" s="896" t="str">
        <f>'Marketing SoA'!K84</f>
        <v>Community Amenity</v>
      </c>
      <c r="M117" s="909" t="str">
        <f>'Marketing SoA'!L84</f>
        <v>-</v>
      </c>
      <c r="O117" s="1191"/>
      <c r="P117" s="1192"/>
      <c r="Q117" s="1192"/>
      <c r="R117" s="1192"/>
      <c r="S117" s="1193"/>
    </row>
    <row r="118" spans="1:19" ht="30" x14ac:dyDescent="0.25">
      <c r="A118" s="1252"/>
      <c r="B118" s="1248"/>
      <c r="C118" s="896">
        <f>'Marketing SoA'!B85</f>
        <v>80</v>
      </c>
      <c r="D118" s="896" t="str">
        <f>'Marketing SoA'!C85</f>
        <v>Duplex Maisonette</v>
      </c>
      <c r="E118" s="896" t="str">
        <f>'Marketing SoA'!D85</f>
        <v>SF DM</v>
      </c>
      <c r="F118" s="896">
        <f>'Marketing SoA'!E85</f>
        <v>84.7</v>
      </c>
      <c r="G118" s="945">
        <f>'Marketing SoA'!F85</f>
        <v>911.70232999999996</v>
      </c>
      <c r="H118" s="896" t="str">
        <f>'Marketing SoA'!G85</f>
        <v>3B4P</v>
      </c>
      <c r="I118" s="896">
        <f>'Marketing SoA'!H85</f>
        <v>2</v>
      </c>
      <c r="J118" s="896" t="str">
        <f>'Marketing SoA'!I85</f>
        <v>-</v>
      </c>
      <c r="K118" s="896" t="str">
        <f>'Marketing SoA'!J85</f>
        <v>On-site within MSCP</v>
      </c>
      <c r="L118" s="896" t="str">
        <f>'Marketing SoA'!K85</f>
        <v>Community Amenity</v>
      </c>
      <c r="M118" s="909" t="str">
        <f>'Marketing SoA'!L85</f>
        <v>-</v>
      </c>
      <c r="O118" s="1191"/>
      <c r="P118" s="1192"/>
      <c r="Q118" s="1192"/>
      <c r="R118" s="1192"/>
      <c r="S118" s="1193"/>
    </row>
    <row r="119" spans="1:19" ht="30" x14ac:dyDescent="0.25">
      <c r="A119" s="1252"/>
      <c r="B119" s="1248"/>
      <c r="C119" s="896">
        <f>'Marketing SoA'!B86</f>
        <v>81</v>
      </c>
      <c r="D119" s="896" t="str">
        <f>'Marketing SoA'!C86</f>
        <v>Duplex Maisonette</v>
      </c>
      <c r="E119" s="896" t="str">
        <f>'Marketing SoA'!D86</f>
        <v>GF DM</v>
      </c>
      <c r="F119" s="896">
        <f>'Marketing SoA'!E86</f>
        <v>49.3</v>
      </c>
      <c r="G119" s="945">
        <f>'Marketing SoA'!F86</f>
        <v>530.66026999999997</v>
      </c>
      <c r="H119" s="896" t="str">
        <f>'Marketing SoA'!G86</f>
        <v>1B2P</v>
      </c>
      <c r="I119" s="896">
        <f>'Marketing SoA'!H86</f>
        <v>2</v>
      </c>
      <c r="J119" s="896" t="str">
        <f>'Marketing SoA'!I86</f>
        <v>-</v>
      </c>
      <c r="K119" s="896" t="str">
        <f>'Marketing SoA'!J86</f>
        <v>On-site within MSCP</v>
      </c>
      <c r="L119" s="896" t="str">
        <f>'Marketing SoA'!K86</f>
        <v>Community Amenity</v>
      </c>
      <c r="M119" s="909" t="str">
        <f>'Marketing SoA'!L86</f>
        <v>-</v>
      </c>
      <c r="O119" s="1191"/>
      <c r="P119" s="1192"/>
      <c r="Q119" s="1192"/>
      <c r="R119" s="1192"/>
      <c r="S119" s="1193"/>
    </row>
    <row r="120" spans="1:19" ht="30" x14ac:dyDescent="0.25">
      <c r="A120" s="1252"/>
      <c r="B120" s="1248"/>
      <c r="C120" s="896">
        <f>'Marketing SoA'!B87</f>
        <v>82</v>
      </c>
      <c r="D120" s="896" t="str">
        <f>'Marketing SoA'!C87</f>
        <v>Duplex Maisonette</v>
      </c>
      <c r="E120" s="896" t="str">
        <f>'Marketing SoA'!D87</f>
        <v>GF DM</v>
      </c>
      <c r="F120" s="896">
        <f>'Marketing SoA'!E87</f>
        <v>72.7</v>
      </c>
      <c r="G120" s="945">
        <f>'Marketing SoA'!F87</f>
        <v>782.53552999999999</v>
      </c>
      <c r="H120" s="896" t="str">
        <f>'Marketing SoA'!G87</f>
        <v>2B3P</v>
      </c>
      <c r="I120" s="896">
        <f>'Marketing SoA'!H87</f>
        <v>2</v>
      </c>
      <c r="J120" s="896" t="str">
        <f>'Marketing SoA'!I87</f>
        <v>-</v>
      </c>
      <c r="K120" s="896" t="str">
        <f>'Marketing SoA'!J87</f>
        <v>On-site within MSCP</v>
      </c>
      <c r="L120" s="896" t="str">
        <f>'Marketing SoA'!K87</f>
        <v>Frontage Amenity</v>
      </c>
      <c r="M120" s="909">
        <f>'Marketing SoA'!L87</f>
        <v>70</v>
      </c>
      <c r="O120" s="1191"/>
      <c r="P120" s="1192"/>
      <c r="Q120" s="1192"/>
      <c r="R120" s="1192"/>
      <c r="S120" s="1193"/>
    </row>
    <row r="121" spans="1:19" ht="30" x14ac:dyDescent="0.25">
      <c r="A121" s="1252"/>
      <c r="B121" s="1248"/>
      <c r="C121" s="896">
        <f>'Marketing SoA'!B88</f>
        <v>83</v>
      </c>
      <c r="D121" s="896" t="str">
        <f>'Marketing SoA'!C88</f>
        <v>House</v>
      </c>
      <c r="E121" s="896" t="str">
        <f>'Marketing SoA'!D88</f>
        <v>MT House</v>
      </c>
      <c r="F121" s="896">
        <f>'Marketing SoA'!E88</f>
        <v>78</v>
      </c>
      <c r="G121" s="945">
        <f>'Marketing SoA'!F88</f>
        <v>839.58420000000001</v>
      </c>
      <c r="H121" s="896" t="str">
        <f>'Marketing SoA'!G88</f>
        <v>2B4P</v>
      </c>
      <c r="I121" s="896">
        <f>'Marketing SoA'!H88</f>
        <v>2</v>
      </c>
      <c r="J121" s="896" t="str">
        <f>'Marketing SoA'!I88</f>
        <v>-</v>
      </c>
      <c r="K121" s="896" t="str">
        <f>'Marketing SoA'!J88</f>
        <v>On-site within MSCP</v>
      </c>
      <c r="L121" s="896" t="str">
        <f>'Marketing SoA'!K88</f>
        <v>Frontage Amenity</v>
      </c>
      <c r="M121" s="909">
        <f>'Marketing SoA'!L88</f>
        <v>70</v>
      </c>
      <c r="O121" s="1191"/>
      <c r="P121" s="1192"/>
      <c r="Q121" s="1192"/>
      <c r="R121" s="1192"/>
      <c r="S121" s="1193"/>
    </row>
    <row r="122" spans="1:19" ht="30" x14ac:dyDescent="0.25">
      <c r="A122" s="1252"/>
      <c r="B122" s="1248"/>
      <c r="C122" s="896">
        <f>'Marketing SoA'!B89</f>
        <v>84</v>
      </c>
      <c r="D122" s="896" t="str">
        <f>'Marketing SoA'!C89</f>
        <v>House</v>
      </c>
      <c r="E122" s="896" t="str">
        <f>'Marketing SoA'!D89</f>
        <v>MT House</v>
      </c>
      <c r="F122" s="896">
        <f>'Marketing SoA'!E89</f>
        <v>90.2</v>
      </c>
      <c r="G122" s="945">
        <f>'Marketing SoA'!F89</f>
        <v>970.90377999999998</v>
      </c>
      <c r="H122" s="896" t="str">
        <f>'Marketing SoA'!G89</f>
        <v>2B4P</v>
      </c>
      <c r="I122" s="896">
        <f>'Marketing SoA'!H89</f>
        <v>2</v>
      </c>
      <c r="J122" s="896" t="str">
        <f>'Marketing SoA'!I89</f>
        <v>-</v>
      </c>
      <c r="K122" s="896" t="str">
        <f>'Marketing SoA'!J89</f>
        <v>On-site within MSCP</v>
      </c>
      <c r="L122" s="896" t="str">
        <f>'Marketing SoA'!K89</f>
        <v>Frontage Amenity</v>
      </c>
      <c r="M122" s="909">
        <f>'Marketing SoA'!L89</f>
        <v>70</v>
      </c>
      <c r="O122" s="1191"/>
      <c r="P122" s="1192"/>
      <c r="Q122" s="1192"/>
      <c r="R122" s="1192"/>
      <c r="S122" s="1193"/>
    </row>
    <row r="123" spans="1:19" ht="30" x14ac:dyDescent="0.25">
      <c r="A123" s="1252"/>
      <c r="B123" s="1248"/>
      <c r="C123" s="896">
        <f>'Marketing SoA'!B90</f>
        <v>85</v>
      </c>
      <c r="D123" s="896" t="str">
        <f>'Marketing SoA'!C90</f>
        <v>House</v>
      </c>
      <c r="E123" s="896" t="str">
        <f>'Marketing SoA'!D90</f>
        <v>MT House</v>
      </c>
      <c r="F123" s="896">
        <f>'Marketing SoA'!E90</f>
        <v>78</v>
      </c>
      <c r="G123" s="945">
        <f>'Marketing SoA'!F90</f>
        <v>839.58420000000001</v>
      </c>
      <c r="H123" s="896" t="str">
        <f>'Marketing SoA'!G90</f>
        <v>2B4P</v>
      </c>
      <c r="I123" s="896">
        <f>'Marketing SoA'!H90</f>
        <v>2</v>
      </c>
      <c r="J123" s="896" t="str">
        <f>'Marketing SoA'!I90</f>
        <v>-</v>
      </c>
      <c r="K123" s="896" t="str">
        <f>'Marketing SoA'!J90</f>
        <v>On-site within MSCP</v>
      </c>
      <c r="L123" s="896" t="str">
        <f>'Marketing SoA'!K90</f>
        <v>Frontage Amenity</v>
      </c>
      <c r="M123" s="909">
        <f>'Marketing SoA'!L90</f>
        <v>70</v>
      </c>
      <c r="O123" s="1191"/>
      <c r="P123" s="1192"/>
      <c r="Q123" s="1192"/>
      <c r="R123" s="1192"/>
      <c r="S123" s="1193"/>
    </row>
    <row r="124" spans="1:19" ht="30" x14ac:dyDescent="0.25">
      <c r="A124" s="1252"/>
      <c r="B124" s="1281"/>
      <c r="C124" s="896">
        <f>'Marketing SoA'!B91</f>
        <v>86</v>
      </c>
      <c r="D124" s="896" t="str">
        <f>'Marketing SoA'!C91</f>
        <v>House</v>
      </c>
      <c r="E124" s="896" t="str">
        <f>'Marketing SoA'!D91</f>
        <v>MT House</v>
      </c>
      <c r="F124" s="896">
        <f>'Marketing SoA'!E91</f>
        <v>78</v>
      </c>
      <c r="G124" s="945">
        <f>'Marketing SoA'!F91</f>
        <v>839.58420000000001</v>
      </c>
      <c r="H124" s="896" t="str">
        <f>'Marketing SoA'!G91</f>
        <v>2B4P</v>
      </c>
      <c r="I124" s="896">
        <f>'Marketing SoA'!H91</f>
        <v>2</v>
      </c>
      <c r="J124" s="896" t="str">
        <f>'Marketing SoA'!I91</f>
        <v>-</v>
      </c>
      <c r="K124" s="896" t="str">
        <f>'Marketing SoA'!J91</f>
        <v>On-site within MSCP</v>
      </c>
      <c r="L124" s="896" t="str">
        <f>'Marketing SoA'!K91</f>
        <v>Frontage Amenity</v>
      </c>
      <c r="M124" s="909">
        <f>'Marketing SoA'!L91</f>
        <v>70</v>
      </c>
      <c r="O124" s="1191"/>
      <c r="P124" s="1192"/>
      <c r="Q124" s="1192"/>
      <c r="R124" s="1192"/>
      <c r="S124" s="1193"/>
    </row>
    <row r="125" spans="1:19" ht="127.5" customHeight="1" x14ac:dyDescent="0.25">
      <c r="A125" s="1252"/>
      <c r="B125" s="892" t="s">
        <v>119</v>
      </c>
      <c r="C125" s="896">
        <f>'Marketing SoA'!B92</f>
        <v>87</v>
      </c>
      <c r="D125" s="896" t="str">
        <f>'Marketing SoA'!C92</f>
        <v>House</v>
      </c>
      <c r="E125" s="896" t="str">
        <f>'Marketing SoA'!D92</f>
        <v>EoT House</v>
      </c>
      <c r="F125" s="896">
        <f>'Marketing SoA'!E92</f>
        <v>99.1</v>
      </c>
      <c r="G125" s="945">
        <f>'Marketing SoA'!F92</f>
        <v>1066.7024899999999</v>
      </c>
      <c r="H125" s="896" t="str">
        <f>'Marketing SoA'!G92</f>
        <v>3B5P</v>
      </c>
      <c r="I125" s="896">
        <f>'Marketing SoA'!H92</f>
        <v>3</v>
      </c>
      <c r="J125" s="896" t="str">
        <f>'Marketing SoA'!I92</f>
        <v>-</v>
      </c>
      <c r="K125" s="896" t="str">
        <f>'Marketing SoA'!J92</f>
        <v>On-plot Allocated Parking</v>
      </c>
      <c r="L125" s="896" t="str">
        <f>'Marketing SoA'!K92</f>
        <v>Private Front Garden</v>
      </c>
      <c r="M125" s="909">
        <f>'Marketing SoA'!L92</f>
        <v>263</v>
      </c>
      <c r="O125" s="1191"/>
      <c r="P125" s="1192"/>
      <c r="Q125" s="1192"/>
      <c r="R125" s="1192"/>
      <c r="S125" s="1193"/>
    </row>
    <row r="126" spans="1:19" ht="45" x14ac:dyDescent="0.25">
      <c r="A126" s="1274" t="s">
        <v>614</v>
      </c>
      <c r="B126" s="1248" t="s">
        <v>340</v>
      </c>
      <c r="C126" s="893">
        <f>'Marketing SoA'!B314</f>
        <v>308</v>
      </c>
      <c r="D126" s="894" t="str">
        <f>'Marketing SoA'!C314</f>
        <v>House</v>
      </c>
      <c r="E126" s="894" t="str">
        <f>'Marketing SoA'!D314</f>
        <v>EoT House</v>
      </c>
      <c r="F126" s="894">
        <f>'Marketing SoA'!E314</f>
        <v>103.4</v>
      </c>
      <c r="G126" s="946">
        <f>'Marketing SoA'!F314</f>
        <v>1112.9872600000001</v>
      </c>
      <c r="H126" s="894" t="str">
        <f>'Marketing SoA'!G314</f>
        <v>3B5P</v>
      </c>
      <c r="I126" s="894">
        <f>'Marketing SoA'!H314</f>
        <v>3</v>
      </c>
      <c r="J126" s="894" t="str">
        <f>'Marketing SoA'!I314</f>
        <v>-</v>
      </c>
      <c r="K126" s="894" t="str">
        <f>'Marketing SoA'!J314</f>
        <v>On-plot Allocated Parking</v>
      </c>
      <c r="L126" s="894" t="str">
        <f>'Marketing SoA'!K314</f>
        <v>Roof Terrace</v>
      </c>
      <c r="M126" s="910">
        <f>'Marketing SoA'!L314</f>
        <v>324</v>
      </c>
      <c r="O126" s="1191"/>
      <c r="P126" s="1192"/>
      <c r="Q126" s="1192"/>
      <c r="R126" s="1192"/>
      <c r="S126" s="1193"/>
    </row>
    <row r="127" spans="1:19" ht="30" customHeight="1" x14ac:dyDescent="0.25">
      <c r="A127" s="1274"/>
      <c r="B127" s="1248"/>
      <c r="C127" s="895">
        <f>'Marketing SoA'!B315</f>
        <v>309</v>
      </c>
      <c r="D127" s="896" t="str">
        <f>'Marketing SoA'!C315</f>
        <v>House</v>
      </c>
      <c r="E127" s="896" t="str">
        <f>'Marketing SoA'!D315</f>
        <v>MT House</v>
      </c>
      <c r="F127" s="896">
        <f>'Marketing SoA'!E315</f>
        <v>103.4</v>
      </c>
      <c r="G127" s="945">
        <f>'Marketing SoA'!F315</f>
        <v>1112.9872600000001</v>
      </c>
      <c r="H127" s="896" t="str">
        <f>'Marketing SoA'!G315</f>
        <v>3B5P</v>
      </c>
      <c r="I127" s="896">
        <f>'Marketing SoA'!H315</f>
        <v>3</v>
      </c>
      <c r="J127" s="896" t="str">
        <f>'Marketing SoA'!I315</f>
        <v>-</v>
      </c>
      <c r="K127" s="896" t="str">
        <f>'Marketing SoA'!J315</f>
        <v>On-plot Allocated Parking</v>
      </c>
      <c r="L127" s="896" t="str">
        <f>'Marketing SoA'!K315</f>
        <v>Roof Terrace</v>
      </c>
      <c r="M127" s="909">
        <f>'Marketing SoA'!L315</f>
        <v>324</v>
      </c>
      <c r="O127" s="1191"/>
      <c r="P127" s="1192"/>
      <c r="Q127" s="1192"/>
      <c r="R127" s="1192"/>
      <c r="S127" s="1193"/>
    </row>
    <row r="128" spans="1:19" ht="45.75" thickBot="1" x14ac:dyDescent="0.3">
      <c r="A128" s="1274"/>
      <c r="B128" s="1248"/>
      <c r="C128" s="895">
        <f>'Marketing SoA'!B316</f>
        <v>310</v>
      </c>
      <c r="D128" s="896" t="str">
        <f>'Marketing SoA'!C316</f>
        <v>House</v>
      </c>
      <c r="E128" s="896" t="str">
        <f>'Marketing SoA'!D316</f>
        <v>EoT House</v>
      </c>
      <c r="F128" s="896">
        <f>'Marketing SoA'!E316</f>
        <v>103.4</v>
      </c>
      <c r="G128" s="945">
        <f>'Marketing SoA'!F316</f>
        <v>1112.9872600000001</v>
      </c>
      <c r="H128" s="896" t="str">
        <f>'Marketing SoA'!G316</f>
        <v>3B5P</v>
      </c>
      <c r="I128" s="896">
        <f>'Marketing SoA'!H316</f>
        <v>3</v>
      </c>
      <c r="J128" s="896" t="str">
        <f>'Marketing SoA'!I316</f>
        <v>-</v>
      </c>
      <c r="K128" s="896" t="str">
        <f>'Marketing SoA'!J316</f>
        <v>On-plot Allocated Parking</v>
      </c>
      <c r="L128" s="896" t="str">
        <f>'Marketing SoA'!K316</f>
        <v>Roof Terrace</v>
      </c>
      <c r="M128" s="909">
        <f>'Marketing SoA'!L316</f>
        <v>324</v>
      </c>
      <c r="O128" s="1191"/>
      <c r="P128" s="1192"/>
      <c r="Q128" s="1192"/>
      <c r="R128" s="1192"/>
      <c r="S128" s="1193"/>
    </row>
    <row r="129" spans="1:28" ht="30.75" thickTop="1" x14ac:dyDescent="0.25">
      <c r="A129" s="1274"/>
      <c r="B129" s="1249"/>
      <c r="C129" s="931">
        <f>'Marketing SoA'!B317</f>
        <v>311</v>
      </c>
      <c r="D129" s="932" t="str">
        <f>'Marketing SoA'!C317</f>
        <v>Maisonette</v>
      </c>
      <c r="E129" s="932" t="str">
        <f>'Marketing SoA'!D317</f>
        <v>GF M</v>
      </c>
      <c r="F129" s="932">
        <f>'Marketing SoA'!E317</f>
        <v>40.1</v>
      </c>
      <c r="G129" s="947">
        <f>'Marketing SoA'!F317</f>
        <v>431.63238999999999</v>
      </c>
      <c r="H129" s="932" t="str">
        <f>'Marketing SoA'!G317</f>
        <v>1B2P</v>
      </c>
      <c r="I129" s="932">
        <f>'Marketing SoA'!H317</f>
        <v>1</v>
      </c>
      <c r="J129" s="932" t="str">
        <f>'Marketing SoA'!I317</f>
        <v>-</v>
      </c>
      <c r="K129" s="932" t="str">
        <f>'Marketing SoA'!J317</f>
        <v>On-site within MSCP</v>
      </c>
      <c r="L129" s="932" t="str">
        <f>'Marketing SoA'!K317</f>
        <v>Frontage Amenity</v>
      </c>
      <c r="M129" s="933">
        <f>'Marketing SoA'!L317</f>
        <v>173</v>
      </c>
      <c r="O129" s="1191"/>
      <c r="P129" s="1192"/>
      <c r="Q129" s="1192"/>
      <c r="R129" s="1192"/>
      <c r="S129" s="1193"/>
    </row>
    <row r="130" spans="1:28" ht="30" x14ac:dyDescent="0.25">
      <c r="A130" s="1274"/>
      <c r="B130" s="1249"/>
      <c r="C130" s="934">
        <f>'Marketing SoA'!B318</f>
        <v>312</v>
      </c>
      <c r="D130" s="896" t="str">
        <f>'Marketing SoA'!C318</f>
        <v>Maisonette</v>
      </c>
      <c r="E130" s="896" t="str">
        <f>'Marketing SoA'!D318</f>
        <v>FF M</v>
      </c>
      <c r="F130" s="896">
        <f>'Marketing SoA'!E318</f>
        <v>42</v>
      </c>
      <c r="G130" s="945">
        <f>'Marketing SoA'!F318</f>
        <v>452.0838</v>
      </c>
      <c r="H130" s="896" t="str">
        <f>'Marketing SoA'!G318</f>
        <v>1B2P</v>
      </c>
      <c r="I130" s="896">
        <f>'Marketing SoA'!H318</f>
        <v>1</v>
      </c>
      <c r="J130" s="896" t="str">
        <f>'Marketing SoA'!I318</f>
        <v>-</v>
      </c>
      <c r="K130" s="896" t="str">
        <f>'Marketing SoA'!J318</f>
        <v>On-site within MSCP</v>
      </c>
      <c r="L130" s="896" t="str">
        <f>'Marketing SoA'!K318</f>
        <v>Community Amenity</v>
      </c>
      <c r="M130" s="935" t="str">
        <f>'Marketing SoA'!L318</f>
        <v>-</v>
      </c>
      <c r="O130" s="1191"/>
      <c r="P130" s="1192"/>
      <c r="Q130" s="1192"/>
      <c r="R130" s="1192"/>
      <c r="S130" s="1193"/>
    </row>
    <row r="131" spans="1:28" ht="30" x14ac:dyDescent="0.25">
      <c r="A131" s="1274"/>
      <c r="B131" s="1249"/>
      <c r="C131" s="934">
        <f>'Marketing SoA'!B319</f>
        <v>313</v>
      </c>
      <c r="D131" s="896" t="str">
        <f>'Marketing SoA'!C319</f>
        <v>Maisonette</v>
      </c>
      <c r="E131" s="896" t="str">
        <f>'Marketing SoA'!D319</f>
        <v>FF M</v>
      </c>
      <c r="F131" s="896">
        <f>'Marketing SoA'!E319</f>
        <v>42</v>
      </c>
      <c r="G131" s="945">
        <f>'Marketing SoA'!F319</f>
        <v>452.0838</v>
      </c>
      <c r="H131" s="896" t="str">
        <f>'Marketing SoA'!G319</f>
        <v>1B2P</v>
      </c>
      <c r="I131" s="896">
        <f>'Marketing SoA'!H319</f>
        <v>1</v>
      </c>
      <c r="J131" s="896" t="str">
        <f>'Marketing SoA'!I319</f>
        <v>-</v>
      </c>
      <c r="K131" s="896" t="str">
        <f>'Marketing SoA'!J319</f>
        <v>On-site within MSCP</v>
      </c>
      <c r="L131" s="896" t="str">
        <f>'Marketing SoA'!K319</f>
        <v>Community Amenity</v>
      </c>
      <c r="M131" s="935" t="str">
        <f>'Marketing SoA'!L319</f>
        <v>-</v>
      </c>
      <c r="O131" s="1191"/>
      <c r="P131" s="1192"/>
      <c r="Q131" s="1192"/>
      <c r="R131" s="1192"/>
      <c r="S131" s="1193"/>
    </row>
    <row r="132" spans="1:28" ht="30" x14ac:dyDescent="0.25">
      <c r="A132" s="1274"/>
      <c r="B132" s="1249"/>
      <c r="C132" s="934">
        <f>'Marketing SoA'!B320</f>
        <v>314</v>
      </c>
      <c r="D132" s="896" t="str">
        <f>'Marketing SoA'!C320</f>
        <v>Duplex Maisonette</v>
      </c>
      <c r="E132" s="896" t="str">
        <f>'Marketing SoA'!D320</f>
        <v>SF DM</v>
      </c>
      <c r="F132" s="896">
        <f>'Marketing SoA'!E320</f>
        <v>80.099999999999994</v>
      </c>
      <c r="G132" s="945">
        <f>'Marketing SoA'!F320</f>
        <v>862.18838999999991</v>
      </c>
      <c r="H132" s="896" t="str">
        <f>'Marketing SoA'!G320</f>
        <v>2B3P</v>
      </c>
      <c r="I132" s="896">
        <f>'Marketing SoA'!H320</f>
        <v>2</v>
      </c>
      <c r="J132" s="896" t="str">
        <f>'Marketing SoA'!I320</f>
        <v>-</v>
      </c>
      <c r="K132" s="896" t="str">
        <f>'Marketing SoA'!J320</f>
        <v>On-site within MSCP</v>
      </c>
      <c r="L132" s="896" t="str">
        <f>'Marketing SoA'!K320</f>
        <v>Balcony</v>
      </c>
      <c r="M132" s="935">
        <f>'Marketing SoA'!L320</f>
        <v>33</v>
      </c>
      <c r="O132" s="1191"/>
      <c r="P132" s="1192"/>
      <c r="Q132" s="1192"/>
      <c r="R132" s="1192"/>
      <c r="S132" s="1193"/>
    </row>
    <row r="133" spans="1:28" ht="30" x14ac:dyDescent="0.25">
      <c r="A133" s="1274"/>
      <c r="B133" s="1249"/>
      <c r="C133" s="934">
        <f>'Marketing SoA'!B321</f>
        <v>315</v>
      </c>
      <c r="D133" s="896" t="str">
        <f>'Marketing SoA'!C321</f>
        <v>Duplex Maisonette</v>
      </c>
      <c r="E133" s="896" t="str">
        <f>'Marketing SoA'!D321</f>
        <v>SF DM</v>
      </c>
      <c r="F133" s="896">
        <f>'Marketing SoA'!E321</f>
        <v>80.099999999999994</v>
      </c>
      <c r="G133" s="945">
        <f>'Marketing SoA'!F321</f>
        <v>862.18838999999991</v>
      </c>
      <c r="H133" s="896" t="str">
        <f>'Marketing SoA'!G321</f>
        <v>2B3P</v>
      </c>
      <c r="I133" s="896">
        <f>'Marketing SoA'!H321</f>
        <v>2</v>
      </c>
      <c r="J133" s="896" t="str">
        <f>'Marketing SoA'!I321</f>
        <v>-</v>
      </c>
      <c r="K133" s="896" t="str">
        <f>'Marketing SoA'!J321</f>
        <v>On-site within MSCP</v>
      </c>
      <c r="L133" s="896" t="str">
        <f>'Marketing SoA'!K321</f>
        <v>Balcony</v>
      </c>
      <c r="M133" s="935">
        <f>'Marketing SoA'!L321</f>
        <v>33</v>
      </c>
      <c r="O133" s="1191"/>
      <c r="P133" s="1192"/>
      <c r="Q133" s="1192"/>
      <c r="R133" s="1192"/>
      <c r="S133" s="1193"/>
    </row>
    <row r="134" spans="1:28" ht="30.75" thickBot="1" x14ac:dyDescent="0.3">
      <c r="A134" s="1274"/>
      <c r="B134" s="1249"/>
      <c r="C134" s="936">
        <f>'Marketing SoA'!B322</f>
        <v>316</v>
      </c>
      <c r="D134" s="937" t="str">
        <f>'Marketing SoA'!C322</f>
        <v>Maisonette</v>
      </c>
      <c r="E134" s="937" t="str">
        <f>'Marketing SoA'!D322</f>
        <v>GF M</v>
      </c>
      <c r="F134" s="937">
        <f>'Marketing SoA'!E322</f>
        <v>40.1</v>
      </c>
      <c r="G134" s="948">
        <f>'Marketing SoA'!F322</f>
        <v>431.63238999999999</v>
      </c>
      <c r="H134" s="937" t="str">
        <f>'Marketing SoA'!G322</f>
        <v>1B2P</v>
      </c>
      <c r="I134" s="937">
        <f>'Marketing SoA'!H322</f>
        <v>1</v>
      </c>
      <c r="J134" s="937" t="str">
        <f>'Marketing SoA'!I322</f>
        <v>-</v>
      </c>
      <c r="K134" s="937" t="str">
        <f>'Marketing SoA'!J322</f>
        <v>On-site within MSCP</v>
      </c>
      <c r="L134" s="937" t="str">
        <f>'Marketing SoA'!K322</f>
        <v>Frontage Amenity</v>
      </c>
      <c r="M134" s="938">
        <f>'Marketing SoA'!L322</f>
        <v>158</v>
      </c>
      <c r="O134" s="1191"/>
      <c r="P134" s="1192"/>
      <c r="Q134" s="1192"/>
      <c r="R134" s="1192"/>
      <c r="S134" s="1193"/>
    </row>
    <row r="135" spans="1:28" ht="31.5" thickTop="1" thickBot="1" x14ac:dyDescent="0.3">
      <c r="A135" s="1275" t="s">
        <v>615</v>
      </c>
      <c r="B135" s="1267" t="s">
        <v>26</v>
      </c>
      <c r="C135" s="923">
        <f>'Marketing SoA'!B222</f>
        <v>216</v>
      </c>
      <c r="D135" s="924" t="str">
        <f>'Marketing SoA'!C222</f>
        <v>Flat</v>
      </c>
      <c r="E135" s="924" t="str">
        <f>'Marketing SoA'!D222</f>
        <v>GF F</v>
      </c>
      <c r="F135" s="924">
        <f>'Marketing SoA'!E222</f>
        <v>48.3</v>
      </c>
      <c r="G135" s="949">
        <f>'Marketing SoA'!F222</f>
        <v>519.89636999999993</v>
      </c>
      <c r="H135" s="924" t="str">
        <f>'Marketing SoA'!G222</f>
        <v>1B2P</v>
      </c>
      <c r="I135" s="924">
        <f>'Marketing SoA'!H222</f>
        <v>1</v>
      </c>
      <c r="J135" s="924" t="str">
        <f>'Marketing SoA'!I222</f>
        <v>-</v>
      </c>
      <c r="K135" s="924" t="str">
        <f>'Marketing SoA'!J222</f>
        <v>On-site within MSCP</v>
      </c>
      <c r="L135" s="924" t="str">
        <f>'Marketing SoA'!K222</f>
        <v>Community Amenity</v>
      </c>
      <c r="M135" s="925" t="str">
        <f>'Marketing SoA'!L222</f>
        <v>-</v>
      </c>
      <c r="O135" s="1191"/>
      <c r="P135" s="1192"/>
      <c r="Q135" s="1192"/>
      <c r="R135" s="1192"/>
      <c r="S135" s="1193"/>
      <c r="U135" s="1153" t="s">
        <v>615</v>
      </c>
      <c r="V135" s="1136" t="s">
        <v>635</v>
      </c>
      <c r="W135" s="1137"/>
      <c r="X135" s="1137"/>
      <c r="Y135" s="1137"/>
      <c r="Z135" s="1137"/>
      <c r="AA135" s="1137"/>
      <c r="AB135" s="1138"/>
    </row>
    <row r="136" spans="1:28" ht="30" x14ac:dyDescent="0.25">
      <c r="A136" s="1275"/>
      <c r="B136" s="1267"/>
      <c r="C136" s="926">
        <f>'Marketing SoA'!B223</f>
        <v>217</v>
      </c>
      <c r="D136" s="912" t="str">
        <f>'Marketing SoA'!C223</f>
        <v>Flat</v>
      </c>
      <c r="E136" s="912" t="str">
        <f>'Marketing SoA'!D223</f>
        <v>FF F</v>
      </c>
      <c r="F136" s="912">
        <f>'Marketing SoA'!E223</f>
        <v>56.2</v>
      </c>
      <c r="G136" s="950">
        <f>'Marketing SoA'!F223</f>
        <v>604.93118000000004</v>
      </c>
      <c r="H136" s="912" t="str">
        <f>'Marketing SoA'!G223</f>
        <v>1B2P</v>
      </c>
      <c r="I136" s="912">
        <f>'Marketing SoA'!H223</f>
        <v>1</v>
      </c>
      <c r="J136" s="912" t="str">
        <f>'Marketing SoA'!I223</f>
        <v>-</v>
      </c>
      <c r="K136" s="912" t="str">
        <f>'Marketing SoA'!J223</f>
        <v>On-site within MSCP</v>
      </c>
      <c r="L136" s="912" t="str">
        <f>'Marketing SoA'!K223</f>
        <v>Balcony</v>
      </c>
      <c r="M136" s="927">
        <f>'Marketing SoA'!L223</f>
        <v>86</v>
      </c>
      <c r="O136" s="1191"/>
      <c r="P136" s="1192"/>
      <c r="Q136" s="1192"/>
      <c r="R136" s="1192"/>
      <c r="S136" s="1193"/>
      <c r="U136" s="1153"/>
      <c r="V136" s="165"/>
      <c r="W136" s="791" t="s">
        <v>60</v>
      </c>
      <c r="X136" s="385" t="s">
        <v>192</v>
      </c>
      <c r="Y136" s="792" t="s">
        <v>78</v>
      </c>
      <c r="Z136" s="793" t="s">
        <v>55</v>
      </c>
      <c r="AA136" s="162" t="s">
        <v>56</v>
      </c>
      <c r="AB136" s="655" t="s">
        <v>52</v>
      </c>
    </row>
    <row r="137" spans="1:28" ht="30" x14ac:dyDescent="0.25">
      <c r="A137" s="1275"/>
      <c r="B137" s="1267"/>
      <c r="C137" s="926">
        <f>'Marketing SoA'!B224</f>
        <v>218</v>
      </c>
      <c r="D137" s="912" t="str">
        <f>'Marketing SoA'!C224</f>
        <v>Flat</v>
      </c>
      <c r="E137" s="912" t="str">
        <f>'Marketing SoA'!D224</f>
        <v>FF F</v>
      </c>
      <c r="F137" s="912">
        <f>'Marketing SoA'!E224</f>
        <v>43.4</v>
      </c>
      <c r="G137" s="950">
        <f>'Marketing SoA'!F224</f>
        <v>467.15325999999999</v>
      </c>
      <c r="H137" s="912" t="str">
        <f>'Marketing SoA'!G224</f>
        <v>1B2P</v>
      </c>
      <c r="I137" s="912">
        <f>'Marketing SoA'!H224</f>
        <v>1</v>
      </c>
      <c r="J137" s="912" t="str">
        <f>'Marketing SoA'!I224</f>
        <v>-</v>
      </c>
      <c r="K137" s="912" t="str">
        <f>'Marketing SoA'!J224</f>
        <v>On-site within MSCP</v>
      </c>
      <c r="L137" s="912" t="str">
        <f>'Marketing SoA'!K224</f>
        <v>Community Amenity</v>
      </c>
      <c r="M137" s="927" t="str">
        <f>'Marketing SoA'!L224</f>
        <v>-</v>
      </c>
      <c r="O137" s="1191"/>
      <c r="P137" s="1192"/>
      <c r="Q137" s="1192"/>
      <c r="R137" s="1192"/>
      <c r="S137" s="1193"/>
      <c r="U137" s="1153"/>
      <c r="V137" s="155" t="s">
        <v>28</v>
      </c>
      <c r="W137" s="781">
        <f>COUNTIFS('Plot By Plot SoA'!$E$247:$E$341,"Y",'Plot By Plot SoA'!$K$247:$K341,"Y")</f>
        <v>0</v>
      </c>
      <c r="X137" s="789">
        <f>COUNTIFS('Plot By Plot SoA'!$F$247:$F$341,"Y",'Plot By Plot SoA'!$K$247:$K$341,"Y")</f>
        <v>0</v>
      </c>
      <c r="Y137" s="786">
        <f>COUNTIFS('Plot By Plot SoA'!$G$247:$G$341,"Y",'Plot By Plot SoA'!$K$247:$K$341,"Y")</f>
        <v>5</v>
      </c>
      <c r="Z137" s="786">
        <f>COUNTIFS('Plot By Plot SoA'!$H$247:$H$341,"Y",'Plot By Plot SoA'!$K$247:$K$341,"Y")</f>
        <v>4</v>
      </c>
      <c r="AA137" s="780">
        <f>COUNTIFS('Plot By Plot SoA'!$I$247:$I$341,"Y",'Plot By Plot SoA'!$K$247:$K$341,"Y")</f>
        <v>64</v>
      </c>
      <c r="AB137" s="471">
        <f>SUM(W137:AA137)</f>
        <v>73</v>
      </c>
    </row>
    <row r="138" spans="1:28" ht="30" x14ac:dyDescent="0.25">
      <c r="A138" s="1275"/>
      <c r="B138" s="1267"/>
      <c r="C138" s="926">
        <f>'Marketing SoA'!B225</f>
        <v>219</v>
      </c>
      <c r="D138" s="912" t="str">
        <f>'Marketing SoA'!C225</f>
        <v>Flat</v>
      </c>
      <c r="E138" s="912" t="str">
        <f>'Marketing SoA'!D225</f>
        <v>FF F</v>
      </c>
      <c r="F138" s="912">
        <f>'Marketing SoA'!E225</f>
        <v>43.4</v>
      </c>
      <c r="G138" s="950">
        <f>'Marketing SoA'!F225</f>
        <v>467.15325999999999</v>
      </c>
      <c r="H138" s="912" t="str">
        <f>'Marketing SoA'!G225</f>
        <v>1B2P</v>
      </c>
      <c r="I138" s="912">
        <f>'Marketing SoA'!H225</f>
        <v>1</v>
      </c>
      <c r="J138" s="912" t="str">
        <f>'Marketing SoA'!I225</f>
        <v>-</v>
      </c>
      <c r="K138" s="912" t="str">
        <f>'Marketing SoA'!J225</f>
        <v>On-site within MSCP</v>
      </c>
      <c r="L138" s="912" t="str">
        <f>'Marketing SoA'!K225</f>
        <v>Balcony</v>
      </c>
      <c r="M138" s="927">
        <f>'Marketing SoA'!L225</f>
        <v>89</v>
      </c>
      <c r="O138" s="1191"/>
      <c r="P138" s="1192"/>
      <c r="Q138" s="1192"/>
      <c r="R138" s="1192"/>
      <c r="S138" s="1193"/>
      <c r="U138" s="1153"/>
      <c r="V138" s="155" t="s">
        <v>29</v>
      </c>
      <c r="W138" s="782">
        <f>COUNTIFS('Plot By Plot SoA'!$E$247:$E$341,"Y",'Plot By Plot SoA'!$L$247:$L$341,"Y")</f>
        <v>0</v>
      </c>
      <c r="X138" s="198">
        <f>COUNTIFS('Plot By Plot SoA'!$F$247:$F$341,"Y",'Plot By Plot SoA'!$L$247:$L$341,"Y")</f>
        <v>0</v>
      </c>
      <c r="Y138" s="770">
        <f>COUNTIFS('Plot By Plot SoA'!$G$247:$G$341,"Y",'Plot By Plot SoA'!$L$247:$L$341,"Y")</f>
        <v>0</v>
      </c>
      <c r="Z138" s="770">
        <f>COUNTIFS('Plot By Plot SoA'!$H$247:$H$341,"Y",'Plot By Plot SoA'!$L$247:$L$341,"Y")</f>
        <v>11</v>
      </c>
      <c r="AA138" s="779">
        <f>COUNTIFS('Plot By Plot SoA'!$I$247:$I$341,"Y",'Plot By Plot SoA'!$L$247:$L$341,"Y")</f>
        <v>0</v>
      </c>
      <c r="AB138" s="805">
        <f>SUM(W138:AA138)</f>
        <v>11</v>
      </c>
    </row>
    <row r="139" spans="1:28" ht="30" x14ac:dyDescent="0.25">
      <c r="A139" s="1275"/>
      <c r="B139" s="1267"/>
      <c r="C139" s="926">
        <f>'Marketing SoA'!B226</f>
        <v>220</v>
      </c>
      <c r="D139" s="912" t="str">
        <f>'Marketing SoA'!C226</f>
        <v>Flat</v>
      </c>
      <c r="E139" s="912" t="str">
        <f>'Marketing SoA'!D226</f>
        <v>FF F</v>
      </c>
      <c r="F139" s="912">
        <f>'Marketing SoA'!E226</f>
        <v>43.4</v>
      </c>
      <c r="G139" s="950">
        <f>'Marketing SoA'!F226</f>
        <v>467.15325999999999</v>
      </c>
      <c r="H139" s="912" t="str">
        <f>'Marketing SoA'!G226</f>
        <v>1B2P</v>
      </c>
      <c r="I139" s="912">
        <f>'Marketing SoA'!H226</f>
        <v>1</v>
      </c>
      <c r="J139" s="912" t="str">
        <f>'Marketing SoA'!I226</f>
        <v>-</v>
      </c>
      <c r="K139" s="912" t="str">
        <f>'Marketing SoA'!J226</f>
        <v>On-site within MSCP</v>
      </c>
      <c r="L139" s="912" t="str">
        <f>'Marketing SoA'!K226</f>
        <v>Community Amenity</v>
      </c>
      <c r="M139" s="927" t="str">
        <f>'Marketing SoA'!L226</f>
        <v>-</v>
      </c>
      <c r="O139" s="1191"/>
      <c r="P139" s="1192"/>
      <c r="Q139" s="1192"/>
      <c r="R139" s="1192"/>
      <c r="S139" s="1193"/>
      <c r="U139" s="1153"/>
      <c r="V139" s="155" t="s">
        <v>30</v>
      </c>
      <c r="W139" s="784">
        <f>COUNTIFS('Plot By Plot SoA'!$E$247:$E$341,"Y",'Plot By Plot SoA'!$M$247:$M$341,"Y")</f>
        <v>3</v>
      </c>
      <c r="X139" s="180">
        <f>COUNTIFS('Plot By Plot SoA'!$F$247:$F$341,"Y",'Plot By Plot SoA'!$M$247:$M$341,"Y")</f>
        <v>0</v>
      </c>
      <c r="Y139" s="787">
        <f>COUNTIFS('Plot By Plot SoA'!$G$247:$G$341,"Y",'Plot By Plot SoA'!$M$247:$M$341,"Y")</f>
        <v>1</v>
      </c>
      <c r="Z139" s="787">
        <f>COUNTIFS('Plot By Plot SoA'!$H$247:$H$341,"Y",'Plot By Plot SoA'!$M$247:$M$341,"Y")</f>
        <v>2</v>
      </c>
      <c r="AA139" s="785">
        <f>COUNTIFS('Plot By Plot SoA'!$I$247:$I$341,"Y",'Plot By Plot SoA'!$M$247:$M$341,"Y")</f>
        <v>2</v>
      </c>
      <c r="AB139" s="805">
        <f>SUM(W139:AA139)</f>
        <v>8</v>
      </c>
    </row>
    <row r="140" spans="1:28" ht="30.75" thickBot="1" x14ac:dyDescent="0.3">
      <c r="A140" s="1275"/>
      <c r="B140" s="1267"/>
      <c r="C140" s="926">
        <f>'Marketing SoA'!B227</f>
        <v>221</v>
      </c>
      <c r="D140" s="912" t="str">
        <f>'Marketing SoA'!C227</f>
        <v>Flat</v>
      </c>
      <c r="E140" s="912" t="str">
        <f>'Marketing SoA'!D227</f>
        <v>FF F</v>
      </c>
      <c r="F140" s="912">
        <f>'Marketing SoA'!E227</f>
        <v>43.4</v>
      </c>
      <c r="G140" s="950">
        <f>'Marketing SoA'!F227</f>
        <v>467.15325999999999</v>
      </c>
      <c r="H140" s="912" t="str">
        <f>'Marketing SoA'!G227</f>
        <v>1B2P</v>
      </c>
      <c r="I140" s="912">
        <f>'Marketing SoA'!H227</f>
        <v>1</v>
      </c>
      <c r="J140" s="912" t="str">
        <f>'Marketing SoA'!I227</f>
        <v>-</v>
      </c>
      <c r="K140" s="912" t="str">
        <f>'Marketing SoA'!J227</f>
        <v>On-site within MSCP</v>
      </c>
      <c r="L140" s="912" t="str">
        <f>'Marketing SoA'!K227</f>
        <v>Balcony</v>
      </c>
      <c r="M140" s="927">
        <f>'Marketing SoA'!L227</f>
        <v>89</v>
      </c>
      <c r="O140" s="1191"/>
      <c r="P140" s="1192"/>
      <c r="Q140" s="1192"/>
      <c r="R140" s="1192"/>
      <c r="S140" s="1193"/>
      <c r="U140" s="1153"/>
      <c r="V140" s="165" t="s">
        <v>62</v>
      </c>
      <c r="W140" s="783">
        <f>COUNTIFS('Plot By Plot SoA'!$E$247:$E$341,"Y",'Plot By Plot SoA'!$N$247:$N$341,"Y")</f>
        <v>0</v>
      </c>
      <c r="X140" s="790">
        <f>COUNTIFS('Plot By Plot SoA'!$F$247:$F$341,"Y",'Plot By Plot SoA'!$N$247:$N$341,"Y")</f>
        <v>0</v>
      </c>
      <c r="Y140" s="788">
        <f>COUNTIFS('Plot By Plot SoA'!$G$247:$G$341,"Y",'Plot By Plot SoA'!$N$247:$N$341,"Y")</f>
        <v>0</v>
      </c>
      <c r="Z140" s="788">
        <f>COUNTIFS('Plot By Plot SoA'!$H$247:$H$341,"Y",'Plot By Plot SoA'!$N$247:$N$341,"Y")</f>
        <v>0</v>
      </c>
      <c r="AA140" s="162">
        <f>COUNTIFS('Plot By Plot SoA'!$I$247:$I$341,"Y",'Plot By Plot SoA'!$N$247:$N$341,"Y")</f>
        <v>0</v>
      </c>
      <c r="AB140" s="656">
        <f>SUM(W140:AA140)</f>
        <v>0</v>
      </c>
    </row>
    <row r="141" spans="1:28" ht="30.75" thickBot="1" x14ac:dyDescent="0.3">
      <c r="A141" s="1275"/>
      <c r="B141" s="1267"/>
      <c r="C141" s="926">
        <f>'Marketing SoA'!B228</f>
        <v>222</v>
      </c>
      <c r="D141" s="912" t="str">
        <f>'Marketing SoA'!C228</f>
        <v>Flat</v>
      </c>
      <c r="E141" s="912" t="str">
        <f>'Marketing SoA'!D228</f>
        <v>FF F</v>
      </c>
      <c r="F141" s="912">
        <f>'Marketing SoA'!E228</f>
        <v>43.4</v>
      </c>
      <c r="G141" s="950">
        <f>'Marketing SoA'!F228</f>
        <v>467.15325999999999</v>
      </c>
      <c r="H141" s="912" t="str">
        <f>'Marketing SoA'!G228</f>
        <v>1B2P</v>
      </c>
      <c r="I141" s="912">
        <f>'Marketing SoA'!H228</f>
        <v>1</v>
      </c>
      <c r="J141" s="912" t="str">
        <f>'Marketing SoA'!I228</f>
        <v>-</v>
      </c>
      <c r="K141" s="912" t="str">
        <f>'Marketing SoA'!J228</f>
        <v>On-site within MSCP</v>
      </c>
      <c r="L141" s="912" t="str">
        <f>'Marketing SoA'!K228</f>
        <v>Community Amenity</v>
      </c>
      <c r="M141" s="927" t="str">
        <f>'Marketing SoA'!L228</f>
        <v>-</v>
      </c>
      <c r="O141" s="1191"/>
      <c r="P141" s="1192"/>
      <c r="Q141" s="1192"/>
      <c r="R141" s="1192"/>
      <c r="S141" s="1193"/>
      <c r="U141" s="1153"/>
      <c r="V141" s="648" t="s">
        <v>52</v>
      </c>
      <c r="W141" s="480">
        <f>SUM(W137:W140)</f>
        <v>3</v>
      </c>
      <c r="X141" s="649">
        <f>SUM(X138:X140)</f>
        <v>0</v>
      </c>
      <c r="Y141" s="480">
        <f>SUM(Y137:Y140)</f>
        <v>6</v>
      </c>
      <c r="Z141" s="480">
        <f>SUM(Z137:Z140)</f>
        <v>17</v>
      </c>
      <c r="AA141" s="480">
        <f>SUM(AA137:AA140)</f>
        <v>66</v>
      </c>
      <c r="AB141" s="891">
        <f>SUM(W141:AA141)</f>
        <v>92</v>
      </c>
    </row>
    <row r="142" spans="1:28" ht="30.75" thickBot="1" x14ac:dyDescent="0.3">
      <c r="A142" s="1275"/>
      <c r="B142" s="1267"/>
      <c r="C142" s="926">
        <f>'Marketing SoA'!B229</f>
        <v>223</v>
      </c>
      <c r="D142" s="912" t="str">
        <f>'Marketing SoA'!C229</f>
        <v>Flat</v>
      </c>
      <c r="E142" s="912" t="str">
        <f>'Marketing SoA'!D229</f>
        <v>FF F</v>
      </c>
      <c r="F142" s="912">
        <f>'Marketing SoA'!E229</f>
        <v>43.4</v>
      </c>
      <c r="G142" s="950">
        <f>'Marketing SoA'!F229</f>
        <v>467.15325999999999</v>
      </c>
      <c r="H142" s="912" t="str">
        <f>'Marketing SoA'!G229</f>
        <v>1B2P</v>
      </c>
      <c r="I142" s="912">
        <f>'Marketing SoA'!H229</f>
        <v>1</v>
      </c>
      <c r="J142" s="912" t="str">
        <f>'Marketing SoA'!I229</f>
        <v>-</v>
      </c>
      <c r="K142" s="912" t="str">
        <f>'Marketing SoA'!J229</f>
        <v>On-site within MSCP</v>
      </c>
      <c r="L142" s="912" t="str">
        <f>'Marketing SoA'!K229</f>
        <v>Balcony</v>
      </c>
      <c r="M142" s="927">
        <f>'Marketing SoA'!L229</f>
        <v>89</v>
      </c>
      <c r="O142" s="1191"/>
      <c r="P142" s="1192"/>
      <c r="Q142" s="1192"/>
      <c r="R142" s="1192"/>
      <c r="S142" s="1193"/>
      <c r="U142" s="1153"/>
    </row>
    <row r="143" spans="1:28" ht="30" x14ac:dyDescent="0.25">
      <c r="A143" s="1275"/>
      <c r="B143" s="1267"/>
      <c r="C143" s="926">
        <f>'Marketing SoA'!B230</f>
        <v>224</v>
      </c>
      <c r="D143" s="912" t="str">
        <f>'Marketing SoA'!C230</f>
        <v>Flat</v>
      </c>
      <c r="E143" s="912" t="str">
        <f>'Marketing SoA'!D230</f>
        <v>FF F</v>
      </c>
      <c r="F143" s="912">
        <f>'Marketing SoA'!E230</f>
        <v>43.4</v>
      </c>
      <c r="G143" s="950">
        <f>'Marketing SoA'!F230</f>
        <v>467.15325999999999</v>
      </c>
      <c r="H143" s="912" t="str">
        <f>'Marketing SoA'!G230</f>
        <v>1B2P</v>
      </c>
      <c r="I143" s="912">
        <f>'Marketing SoA'!H230</f>
        <v>1</v>
      </c>
      <c r="J143" s="912" t="str">
        <f>'Marketing SoA'!I230</f>
        <v>-</v>
      </c>
      <c r="K143" s="912" t="str">
        <f>'Marketing SoA'!J230</f>
        <v>On-site within MSCP</v>
      </c>
      <c r="L143" s="912" t="str">
        <f>'Marketing SoA'!K230</f>
        <v>Community Amenity</v>
      </c>
      <c r="M143" s="927" t="str">
        <f>'Marketing SoA'!L230</f>
        <v>-</v>
      </c>
      <c r="O143" s="1191"/>
      <c r="P143" s="1192"/>
      <c r="Q143" s="1192"/>
      <c r="R143" s="1192"/>
      <c r="S143" s="1193"/>
      <c r="U143" s="1153"/>
      <c r="V143" s="1139" t="s">
        <v>413</v>
      </c>
      <c r="W143" s="1140"/>
      <c r="X143" s="1140"/>
      <c r="Y143" s="1140"/>
      <c r="Z143" s="1140"/>
      <c r="AA143" s="1141"/>
    </row>
    <row r="144" spans="1:28" ht="30" x14ac:dyDescent="0.35">
      <c r="A144" s="1275"/>
      <c r="B144" s="1267"/>
      <c r="C144" s="926">
        <f>'Marketing SoA'!B231</f>
        <v>225</v>
      </c>
      <c r="D144" s="912" t="str">
        <f>'Marketing SoA'!C231</f>
        <v>Flat</v>
      </c>
      <c r="E144" s="912" t="str">
        <f>'Marketing SoA'!D231</f>
        <v>FF F</v>
      </c>
      <c r="F144" s="912">
        <f>'Marketing SoA'!E231</f>
        <v>51.2</v>
      </c>
      <c r="G144" s="950">
        <f>'Marketing SoA'!F231</f>
        <v>551.11167999999998</v>
      </c>
      <c r="H144" s="912" t="str">
        <f>'Marketing SoA'!G231</f>
        <v>1B2P</v>
      </c>
      <c r="I144" s="912">
        <f>'Marketing SoA'!H231</f>
        <v>1</v>
      </c>
      <c r="J144" s="912" t="str">
        <f>'Marketing SoA'!I231</f>
        <v>-</v>
      </c>
      <c r="K144" s="912" t="str">
        <f>'Marketing SoA'!J231</f>
        <v>On-site within MSCP</v>
      </c>
      <c r="L144" s="912" t="str">
        <f>'Marketing SoA'!K231</f>
        <v>Balcony</v>
      </c>
      <c r="M144" s="927">
        <f>'Marketing SoA'!L231</f>
        <v>89</v>
      </c>
      <c r="O144" s="1191"/>
      <c r="P144" s="1192"/>
      <c r="Q144" s="1192"/>
      <c r="R144" s="1192"/>
      <c r="S144" s="1193"/>
      <c r="U144" s="1153"/>
      <c r="V144" s="1142"/>
      <c r="W144" s="1143"/>
      <c r="X144" s="1143"/>
      <c r="Y144" s="1144"/>
      <c r="Z144" s="644" t="s">
        <v>243</v>
      </c>
      <c r="AA144" s="645" t="s">
        <v>242</v>
      </c>
    </row>
    <row r="145" spans="1:27" ht="30.75" thickBot="1" x14ac:dyDescent="0.3">
      <c r="A145" s="1275"/>
      <c r="B145" s="1267"/>
      <c r="C145" s="926">
        <f>'Marketing SoA'!B232</f>
        <v>226</v>
      </c>
      <c r="D145" s="912" t="str">
        <f>'Marketing SoA'!C232</f>
        <v>Flat</v>
      </c>
      <c r="E145" s="912" t="str">
        <f>'Marketing SoA'!D232</f>
        <v>FF F</v>
      </c>
      <c r="F145" s="912">
        <f>'Marketing SoA'!E232</f>
        <v>43.4</v>
      </c>
      <c r="G145" s="950">
        <f>'Marketing SoA'!F232</f>
        <v>467.15325999999999</v>
      </c>
      <c r="H145" s="912" t="str">
        <f>'Marketing SoA'!G232</f>
        <v>1B2P</v>
      </c>
      <c r="I145" s="912">
        <f>'Marketing SoA'!H232</f>
        <v>1</v>
      </c>
      <c r="J145" s="912" t="str">
        <f>'Marketing SoA'!I232</f>
        <v>-</v>
      </c>
      <c r="K145" s="912" t="str">
        <f>'Marketing SoA'!J232</f>
        <v>On-site within MSCP</v>
      </c>
      <c r="L145" s="912" t="str">
        <f>'Marketing SoA'!K232</f>
        <v>Community Amenity</v>
      </c>
      <c r="M145" s="927" t="str">
        <f>'Marketing SoA'!L232</f>
        <v>-</v>
      </c>
      <c r="O145" s="1191"/>
      <c r="P145" s="1192"/>
      <c r="Q145" s="1192"/>
      <c r="R145" s="1192"/>
      <c r="S145" s="1193"/>
      <c r="U145" s="1153"/>
      <c r="V145" s="1145" t="s">
        <v>634</v>
      </c>
      <c r="W145" s="1146"/>
      <c r="X145" s="1146"/>
      <c r="Y145" s="1147"/>
      <c r="Z145" s="776">
        <f>SUM(F135:F188)</f>
        <v>2458.4000000000019</v>
      </c>
      <c r="AA145" s="890">
        <f>SUM(Z145*10.764)</f>
        <v>26462.217600000018</v>
      </c>
    </row>
    <row r="146" spans="1:27" ht="30.75" thickBot="1" x14ac:dyDescent="0.3">
      <c r="A146" s="1275"/>
      <c r="B146" s="1267"/>
      <c r="C146" s="926">
        <f>'Marketing SoA'!B233</f>
        <v>227</v>
      </c>
      <c r="D146" s="912" t="str">
        <f>'Marketing SoA'!C233</f>
        <v>Flat</v>
      </c>
      <c r="E146" s="912" t="str">
        <f>'Marketing SoA'!D233</f>
        <v>FF F</v>
      </c>
      <c r="F146" s="912">
        <f>'Marketing SoA'!E233</f>
        <v>43.4</v>
      </c>
      <c r="G146" s="950">
        <f>'Marketing SoA'!F233</f>
        <v>467.15325999999999</v>
      </c>
      <c r="H146" s="912" t="str">
        <f>'Marketing SoA'!G233</f>
        <v>1B2P</v>
      </c>
      <c r="I146" s="912">
        <f>'Marketing SoA'!H233</f>
        <v>1</v>
      </c>
      <c r="J146" s="912" t="str">
        <f>'Marketing SoA'!I233</f>
        <v>-</v>
      </c>
      <c r="K146" s="912" t="str">
        <f>'Marketing SoA'!J233</f>
        <v>On-site within MSCP</v>
      </c>
      <c r="L146" s="912" t="str">
        <f>'Marketing SoA'!K233</f>
        <v>Community Amenity</v>
      </c>
      <c r="M146" s="927" t="str">
        <f>'Marketing SoA'!L233</f>
        <v>-</v>
      </c>
      <c r="O146" s="1191"/>
      <c r="P146" s="1192"/>
      <c r="Q146" s="1192"/>
      <c r="R146" s="1192"/>
      <c r="S146" s="1193"/>
      <c r="U146" s="1153"/>
      <c r="V146" s="1148" t="s">
        <v>414</v>
      </c>
      <c r="W146" s="1149"/>
      <c r="X146" s="1149"/>
      <c r="Y146" s="1149"/>
      <c r="Z146" s="647">
        <f>SUM(Z145:Z145)</f>
        <v>2458.4000000000019</v>
      </c>
      <c r="AA146" s="650">
        <f>SUM(AA145:AA145)</f>
        <v>26462.217600000018</v>
      </c>
    </row>
    <row r="147" spans="1:27" ht="30" x14ac:dyDescent="0.25">
      <c r="A147" s="1275"/>
      <c r="B147" s="1267"/>
      <c r="C147" s="926">
        <f>'Marketing SoA'!B234</f>
        <v>228</v>
      </c>
      <c r="D147" s="912" t="str">
        <f>'Marketing SoA'!C234</f>
        <v>Flat</v>
      </c>
      <c r="E147" s="912" t="str">
        <f>'Marketing SoA'!D234</f>
        <v>FF F</v>
      </c>
      <c r="F147" s="912">
        <f>'Marketing SoA'!E234</f>
        <v>57.8</v>
      </c>
      <c r="G147" s="950">
        <f>'Marketing SoA'!F234</f>
        <v>622.15341999999998</v>
      </c>
      <c r="H147" s="912" t="str">
        <f>'Marketing SoA'!G234</f>
        <v>1B2P</v>
      </c>
      <c r="I147" s="912">
        <f>'Marketing SoA'!H234</f>
        <v>1</v>
      </c>
      <c r="J147" s="912" t="str">
        <f>'Marketing SoA'!I234</f>
        <v>-</v>
      </c>
      <c r="K147" s="912" t="str">
        <f>'Marketing SoA'!J234</f>
        <v>On-site within MSCP</v>
      </c>
      <c r="L147" s="912" t="str">
        <f>'Marketing SoA'!K234</f>
        <v>Balcony</v>
      </c>
      <c r="M147" s="927">
        <f>'Marketing SoA'!L234</f>
        <v>74</v>
      </c>
      <c r="O147" s="1191"/>
      <c r="P147" s="1192"/>
      <c r="Q147" s="1192"/>
      <c r="R147" s="1192"/>
      <c r="S147" s="1193"/>
    </row>
    <row r="148" spans="1:27" ht="30" x14ac:dyDescent="0.25">
      <c r="A148" s="1275"/>
      <c r="B148" s="1267"/>
      <c r="C148" s="926">
        <f>'Marketing SoA'!B235</f>
        <v>229</v>
      </c>
      <c r="D148" s="912" t="str">
        <f>'Marketing SoA'!C235</f>
        <v>Flat</v>
      </c>
      <c r="E148" s="912" t="str">
        <f>'Marketing SoA'!D235</f>
        <v>SF F</v>
      </c>
      <c r="F148" s="912">
        <f>'Marketing SoA'!E235</f>
        <v>56.2</v>
      </c>
      <c r="G148" s="950">
        <f>'Marketing SoA'!F235</f>
        <v>604.93118000000004</v>
      </c>
      <c r="H148" s="912" t="str">
        <f>'Marketing SoA'!G235</f>
        <v>1B2P</v>
      </c>
      <c r="I148" s="912">
        <f>'Marketing SoA'!H235</f>
        <v>1</v>
      </c>
      <c r="J148" s="912" t="str">
        <f>'Marketing SoA'!I235</f>
        <v>-</v>
      </c>
      <c r="K148" s="912" t="str">
        <f>'Marketing SoA'!J235</f>
        <v>On-site within MSCP</v>
      </c>
      <c r="L148" s="912" t="str">
        <f>'Marketing SoA'!K235</f>
        <v>Community Amenity</v>
      </c>
      <c r="M148" s="927" t="str">
        <f>'Marketing SoA'!L235</f>
        <v>-</v>
      </c>
      <c r="O148" s="1191"/>
      <c r="P148" s="1192"/>
      <c r="Q148" s="1192"/>
      <c r="R148" s="1192"/>
      <c r="S148" s="1193"/>
    </row>
    <row r="149" spans="1:27" ht="30" x14ac:dyDescent="0.25">
      <c r="A149" s="1275"/>
      <c r="B149" s="1267"/>
      <c r="C149" s="926">
        <f>'Marketing SoA'!B236</f>
        <v>230</v>
      </c>
      <c r="D149" s="912" t="str">
        <f>'Marketing SoA'!C236</f>
        <v>Flat</v>
      </c>
      <c r="E149" s="912" t="str">
        <f>'Marketing SoA'!D236</f>
        <v>SF F</v>
      </c>
      <c r="F149" s="912">
        <f>'Marketing SoA'!E236</f>
        <v>43.4</v>
      </c>
      <c r="G149" s="950">
        <f>'Marketing SoA'!F236</f>
        <v>467.15325999999999</v>
      </c>
      <c r="H149" s="912" t="str">
        <f>'Marketing SoA'!G236</f>
        <v>1B2P</v>
      </c>
      <c r="I149" s="912">
        <f>'Marketing SoA'!H236</f>
        <v>1</v>
      </c>
      <c r="J149" s="912" t="str">
        <f>'Marketing SoA'!I236</f>
        <v>-</v>
      </c>
      <c r="K149" s="912" t="str">
        <f>'Marketing SoA'!J236</f>
        <v>On-site within MSCP</v>
      </c>
      <c r="L149" s="912" t="str">
        <f>'Marketing SoA'!K236</f>
        <v>Community Amenity</v>
      </c>
      <c r="M149" s="927" t="str">
        <f>'Marketing SoA'!L236</f>
        <v>-</v>
      </c>
      <c r="O149" s="1191"/>
      <c r="P149" s="1192"/>
      <c r="Q149" s="1192"/>
      <c r="R149" s="1192"/>
      <c r="S149" s="1193"/>
    </row>
    <row r="150" spans="1:27" ht="30" x14ac:dyDescent="0.25">
      <c r="A150" s="1275"/>
      <c r="B150" s="1267"/>
      <c r="C150" s="926">
        <f>'Marketing SoA'!B237</f>
        <v>231</v>
      </c>
      <c r="D150" s="912" t="str">
        <f>'Marketing SoA'!C237</f>
        <v>Flat</v>
      </c>
      <c r="E150" s="912" t="str">
        <f>'Marketing SoA'!D237</f>
        <v>SF F</v>
      </c>
      <c r="F150" s="912">
        <f>'Marketing SoA'!E237</f>
        <v>43.4</v>
      </c>
      <c r="G150" s="950">
        <f>'Marketing SoA'!F237</f>
        <v>467.15325999999999</v>
      </c>
      <c r="H150" s="912" t="str">
        <f>'Marketing SoA'!G237</f>
        <v>1B2P</v>
      </c>
      <c r="I150" s="912">
        <f>'Marketing SoA'!H237</f>
        <v>1</v>
      </c>
      <c r="J150" s="912" t="str">
        <f>'Marketing SoA'!I237</f>
        <v>-</v>
      </c>
      <c r="K150" s="912" t="str">
        <f>'Marketing SoA'!J237</f>
        <v>On-site within MSCP</v>
      </c>
      <c r="L150" s="912" t="str">
        <f>'Marketing SoA'!K237</f>
        <v>Balcony</v>
      </c>
      <c r="M150" s="927">
        <f>'Marketing SoA'!L237</f>
        <v>89</v>
      </c>
      <c r="O150" s="1191"/>
      <c r="P150" s="1192"/>
      <c r="Q150" s="1192"/>
      <c r="R150" s="1192"/>
      <c r="S150" s="1193"/>
    </row>
    <row r="151" spans="1:27" ht="30" x14ac:dyDescent="0.25">
      <c r="A151" s="1275"/>
      <c r="B151" s="1267"/>
      <c r="C151" s="926">
        <f>'Marketing SoA'!B238</f>
        <v>232</v>
      </c>
      <c r="D151" s="912" t="str">
        <f>'Marketing SoA'!C238</f>
        <v>Flat</v>
      </c>
      <c r="E151" s="912" t="str">
        <f>'Marketing SoA'!D238</f>
        <v>SF F</v>
      </c>
      <c r="F151" s="912">
        <f>'Marketing SoA'!E238</f>
        <v>43.4</v>
      </c>
      <c r="G151" s="950">
        <f>'Marketing SoA'!F238</f>
        <v>467.15325999999999</v>
      </c>
      <c r="H151" s="912" t="str">
        <f>'Marketing SoA'!G238</f>
        <v>1B2P</v>
      </c>
      <c r="I151" s="912">
        <f>'Marketing SoA'!H238</f>
        <v>1</v>
      </c>
      <c r="J151" s="912" t="str">
        <f>'Marketing SoA'!I238</f>
        <v>-</v>
      </c>
      <c r="K151" s="912" t="str">
        <f>'Marketing SoA'!J238</f>
        <v>On-site within MSCP</v>
      </c>
      <c r="L151" s="912" t="str">
        <f>'Marketing SoA'!K238</f>
        <v>Community Amenity</v>
      </c>
      <c r="M151" s="927" t="str">
        <f>'Marketing SoA'!L238</f>
        <v>-</v>
      </c>
      <c r="O151" s="1191"/>
      <c r="P151" s="1192"/>
      <c r="Q151" s="1192"/>
      <c r="R151" s="1192"/>
      <c r="S151" s="1193"/>
    </row>
    <row r="152" spans="1:27" ht="30" x14ac:dyDescent="0.25">
      <c r="A152" s="1275"/>
      <c r="B152" s="1267"/>
      <c r="C152" s="926">
        <f>'Marketing SoA'!B239</f>
        <v>233</v>
      </c>
      <c r="D152" s="912" t="str">
        <f>'Marketing SoA'!C239</f>
        <v>Flat</v>
      </c>
      <c r="E152" s="912" t="str">
        <f>'Marketing SoA'!D239</f>
        <v>SF F</v>
      </c>
      <c r="F152" s="912">
        <f>'Marketing SoA'!E239</f>
        <v>43.4</v>
      </c>
      <c r="G152" s="950">
        <f>'Marketing SoA'!F239</f>
        <v>467.15325999999999</v>
      </c>
      <c r="H152" s="912" t="str">
        <f>'Marketing SoA'!G239</f>
        <v>1B2P</v>
      </c>
      <c r="I152" s="912">
        <f>'Marketing SoA'!H239</f>
        <v>1</v>
      </c>
      <c r="J152" s="912" t="str">
        <f>'Marketing SoA'!I239</f>
        <v>-</v>
      </c>
      <c r="K152" s="912" t="str">
        <f>'Marketing SoA'!J239</f>
        <v>On-site within MSCP</v>
      </c>
      <c r="L152" s="912" t="str">
        <f>'Marketing SoA'!K239</f>
        <v>Balcony</v>
      </c>
      <c r="M152" s="927">
        <f>'Marketing SoA'!L239</f>
        <v>89</v>
      </c>
      <c r="O152" s="1191"/>
      <c r="P152" s="1192"/>
      <c r="Q152" s="1192"/>
      <c r="R152" s="1192"/>
      <c r="S152" s="1193"/>
    </row>
    <row r="153" spans="1:27" ht="30" x14ac:dyDescent="0.25">
      <c r="A153" s="1275"/>
      <c r="B153" s="1267"/>
      <c r="C153" s="926">
        <f>'Marketing SoA'!B240</f>
        <v>234</v>
      </c>
      <c r="D153" s="912" t="str">
        <f>'Marketing SoA'!C240</f>
        <v>Flat</v>
      </c>
      <c r="E153" s="912" t="str">
        <f>'Marketing SoA'!D240</f>
        <v>SF F</v>
      </c>
      <c r="F153" s="912">
        <f>'Marketing SoA'!E240</f>
        <v>43.4</v>
      </c>
      <c r="G153" s="950">
        <f>'Marketing SoA'!F240</f>
        <v>467.15325999999999</v>
      </c>
      <c r="H153" s="912" t="str">
        <f>'Marketing SoA'!G240</f>
        <v>1B2P</v>
      </c>
      <c r="I153" s="912">
        <f>'Marketing SoA'!H240</f>
        <v>1</v>
      </c>
      <c r="J153" s="912" t="str">
        <f>'Marketing SoA'!I240</f>
        <v>-</v>
      </c>
      <c r="K153" s="912" t="str">
        <f>'Marketing SoA'!J240</f>
        <v>On-site within MSCP</v>
      </c>
      <c r="L153" s="912" t="str">
        <f>'Marketing SoA'!K240</f>
        <v>Community Amenity</v>
      </c>
      <c r="M153" s="927" t="str">
        <f>'Marketing SoA'!L240</f>
        <v>-</v>
      </c>
      <c r="O153" s="1191"/>
      <c r="P153" s="1192"/>
      <c r="Q153" s="1192"/>
      <c r="R153" s="1192"/>
      <c r="S153" s="1193"/>
    </row>
    <row r="154" spans="1:27" ht="30" customHeight="1" x14ac:dyDescent="0.25">
      <c r="A154" s="1275"/>
      <c r="B154" s="1267"/>
      <c r="C154" s="926">
        <f>'Marketing SoA'!B241</f>
        <v>235</v>
      </c>
      <c r="D154" s="912" t="str">
        <f>'Marketing SoA'!C241</f>
        <v>Flat</v>
      </c>
      <c r="E154" s="912" t="str">
        <f>'Marketing SoA'!D241</f>
        <v>SF F</v>
      </c>
      <c r="F154" s="912">
        <f>'Marketing SoA'!E241</f>
        <v>43.4</v>
      </c>
      <c r="G154" s="950">
        <f>'Marketing SoA'!F241</f>
        <v>467.15325999999999</v>
      </c>
      <c r="H154" s="912" t="str">
        <f>'Marketing SoA'!G241</f>
        <v>1B2P</v>
      </c>
      <c r="I154" s="912">
        <f>'Marketing SoA'!H241</f>
        <v>1</v>
      </c>
      <c r="J154" s="912" t="str">
        <f>'Marketing SoA'!I241</f>
        <v>-</v>
      </c>
      <c r="K154" s="912" t="str">
        <f>'Marketing SoA'!J241</f>
        <v>On-site within MSCP</v>
      </c>
      <c r="L154" s="912" t="str">
        <f>'Marketing SoA'!K241</f>
        <v>Balcony</v>
      </c>
      <c r="M154" s="927">
        <f>'Marketing SoA'!L241</f>
        <v>89</v>
      </c>
      <c r="O154" s="1191"/>
      <c r="P154" s="1192"/>
      <c r="Q154" s="1192"/>
      <c r="R154" s="1192"/>
      <c r="S154" s="1193"/>
    </row>
    <row r="155" spans="1:27" ht="30" x14ac:dyDescent="0.25">
      <c r="A155" s="1275"/>
      <c r="B155" s="1267"/>
      <c r="C155" s="926">
        <f>'Marketing SoA'!B242</f>
        <v>236</v>
      </c>
      <c r="D155" s="912" t="str">
        <f>'Marketing SoA'!C242</f>
        <v>Flat</v>
      </c>
      <c r="E155" s="912" t="str">
        <f>'Marketing SoA'!D242</f>
        <v>SF F</v>
      </c>
      <c r="F155" s="912">
        <f>'Marketing SoA'!E242</f>
        <v>43.4</v>
      </c>
      <c r="G155" s="950">
        <f>'Marketing SoA'!F242</f>
        <v>467.15325999999999</v>
      </c>
      <c r="H155" s="912" t="str">
        <f>'Marketing SoA'!G242</f>
        <v>1B2P</v>
      </c>
      <c r="I155" s="912">
        <f>'Marketing SoA'!H242</f>
        <v>1</v>
      </c>
      <c r="J155" s="912" t="str">
        <f>'Marketing SoA'!I242</f>
        <v>-</v>
      </c>
      <c r="K155" s="912" t="str">
        <f>'Marketing SoA'!J242</f>
        <v>On-site within MSCP</v>
      </c>
      <c r="L155" s="912" t="str">
        <f>'Marketing SoA'!K242</f>
        <v>Community Amenity</v>
      </c>
      <c r="M155" s="927" t="str">
        <f>'Marketing SoA'!L242</f>
        <v>-</v>
      </c>
      <c r="O155" s="1191"/>
      <c r="P155" s="1192"/>
      <c r="Q155" s="1192"/>
      <c r="R155" s="1192"/>
      <c r="S155" s="1193"/>
    </row>
    <row r="156" spans="1:27" ht="30" x14ac:dyDescent="0.25">
      <c r="A156" s="1275"/>
      <c r="B156" s="1267"/>
      <c r="C156" s="926">
        <f>'Marketing SoA'!B243</f>
        <v>237</v>
      </c>
      <c r="D156" s="912" t="str">
        <f>'Marketing SoA'!C243</f>
        <v>Flat</v>
      </c>
      <c r="E156" s="912" t="str">
        <f>'Marketing SoA'!D243</f>
        <v>SF F</v>
      </c>
      <c r="F156" s="912">
        <f>'Marketing SoA'!E243</f>
        <v>51.2</v>
      </c>
      <c r="G156" s="950">
        <f>'Marketing SoA'!F243</f>
        <v>551.11167999999998</v>
      </c>
      <c r="H156" s="912" t="str">
        <f>'Marketing SoA'!G243</f>
        <v>1B2P</v>
      </c>
      <c r="I156" s="912">
        <f>'Marketing SoA'!H243</f>
        <v>1</v>
      </c>
      <c r="J156" s="912" t="str">
        <f>'Marketing SoA'!I243</f>
        <v>-</v>
      </c>
      <c r="K156" s="912" t="str">
        <f>'Marketing SoA'!J243</f>
        <v>On-site within MSCP</v>
      </c>
      <c r="L156" s="912" t="str">
        <f>'Marketing SoA'!K243</f>
        <v>Balcony</v>
      </c>
      <c r="M156" s="927">
        <f>'Marketing SoA'!L243</f>
        <v>89</v>
      </c>
      <c r="O156" s="1191"/>
      <c r="P156" s="1192"/>
      <c r="Q156" s="1192"/>
      <c r="R156" s="1192"/>
      <c r="S156" s="1193"/>
    </row>
    <row r="157" spans="1:27" ht="30" x14ac:dyDescent="0.25">
      <c r="A157" s="1275"/>
      <c r="B157" s="1267"/>
      <c r="C157" s="926">
        <f>'Marketing SoA'!B244</f>
        <v>238</v>
      </c>
      <c r="D157" s="912" t="str">
        <f>'Marketing SoA'!C244</f>
        <v>Flat</v>
      </c>
      <c r="E157" s="912" t="str">
        <f>'Marketing SoA'!D244</f>
        <v>SF F</v>
      </c>
      <c r="F157" s="912">
        <f>'Marketing SoA'!E244</f>
        <v>43.4</v>
      </c>
      <c r="G157" s="950">
        <f>'Marketing SoA'!F244</f>
        <v>467.15325999999999</v>
      </c>
      <c r="H157" s="912" t="str">
        <f>'Marketing SoA'!G244</f>
        <v>1B2P</v>
      </c>
      <c r="I157" s="912">
        <f>'Marketing SoA'!H244</f>
        <v>1</v>
      </c>
      <c r="J157" s="912" t="str">
        <f>'Marketing SoA'!I244</f>
        <v>-</v>
      </c>
      <c r="K157" s="912" t="str">
        <f>'Marketing SoA'!J244</f>
        <v>On-site within MSCP</v>
      </c>
      <c r="L157" s="912" t="str">
        <f>'Marketing SoA'!K244</f>
        <v>Community Amenity</v>
      </c>
      <c r="M157" s="927" t="str">
        <f>'Marketing SoA'!L244</f>
        <v>-</v>
      </c>
      <c r="O157" s="1191"/>
      <c r="P157" s="1192"/>
      <c r="Q157" s="1192"/>
      <c r="R157" s="1192"/>
      <c r="S157" s="1193"/>
    </row>
    <row r="158" spans="1:27" ht="30" x14ac:dyDescent="0.25">
      <c r="A158" s="1275"/>
      <c r="B158" s="1267"/>
      <c r="C158" s="926">
        <f>'Marketing SoA'!B245</f>
        <v>239</v>
      </c>
      <c r="D158" s="912" t="str">
        <f>'Marketing SoA'!C245</f>
        <v>Flat</v>
      </c>
      <c r="E158" s="912" t="str">
        <f>'Marketing SoA'!D245</f>
        <v>SF F</v>
      </c>
      <c r="F158" s="912">
        <f>'Marketing SoA'!E245</f>
        <v>43.4</v>
      </c>
      <c r="G158" s="950">
        <f>'Marketing SoA'!F245</f>
        <v>467.15325999999999</v>
      </c>
      <c r="H158" s="912" t="str">
        <f>'Marketing SoA'!G245</f>
        <v>1B2P</v>
      </c>
      <c r="I158" s="912">
        <f>'Marketing SoA'!H245</f>
        <v>1</v>
      </c>
      <c r="J158" s="912" t="str">
        <f>'Marketing SoA'!I245</f>
        <v>-</v>
      </c>
      <c r="K158" s="912" t="str">
        <f>'Marketing SoA'!J245</f>
        <v>On-site within MSCP</v>
      </c>
      <c r="L158" s="912" t="str">
        <f>'Marketing SoA'!K245</f>
        <v>Community Amenity</v>
      </c>
      <c r="M158" s="927" t="str">
        <f>'Marketing SoA'!L245</f>
        <v>-</v>
      </c>
      <c r="O158" s="1191"/>
      <c r="P158" s="1192"/>
      <c r="Q158" s="1192"/>
      <c r="R158" s="1192"/>
      <c r="S158" s="1193"/>
    </row>
    <row r="159" spans="1:27" ht="30" x14ac:dyDescent="0.25">
      <c r="A159" s="1275"/>
      <c r="B159" s="1267"/>
      <c r="C159" s="926">
        <f>'Marketing SoA'!B246</f>
        <v>240</v>
      </c>
      <c r="D159" s="912" t="str">
        <f>'Marketing SoA'!C246</f>
        <v>Flat</v>
      </c>
      <c r="E159" s="912" t="str">
        <f>'Marketing SoA'!D246</f>
        <v>SF F</v>
      </c>
      <c r="F159" s="912">
        <f>'Marketing SoA'!E246</f>
        <v>57.8</v>
      </c>
      <c r="G159" s="950">
        <f>'Marketing SoA'!F246</f>
        <v>622.15341999999998</v>
      </c>
      <c r="H159" s="912" t="str">
        <f>'Marketing SoA'!G246</f>
        <v>1B2P</v>
      </c>
      <c r="I159" s="912">
        <f>'Marketing SoA'!H246</f>
        <v>1</v>
      </c>
      <c r="J159" s="912" t="str">
        <f>'Marketing SoA'!I246</f>
        <v>-</v>
      </c>
      <c r="K159" s="912" t="str">
        <f>'Marketing SoA'!J246</f>
        <v>On-site within MSCP</v>
      </c>
      <c r="L159" s="912" t="str">
        <f>'Marketing SoA'!K246</f>
        <v>Balcony</v>
      </c>
      <c r="M159" s="927">
        <f>'Marketing SoA'!L246</f>
        <v>74</v>
      </c>
      <c r="O159" s="1191"/>
      <c r="P159" s="1192"/>
      <c r="Q159" s="1192"/>
      <c r="R159" s="1192"/>
      <c r="S159" s="1193"/>
    </row>
    <row r="160" spans="1:27" ht="30" x14ac:dyDescent="0.25">
      <c r="A160" s="1275"/>
      <c r="B160" s="1267"/>
      <c r="C160" s="926">
        <f>'Marketing SoA'!B247</f>
        <v>241</v>
      </c>
      <c r="D160" s="912" t="str">
        <f>'Marketing SoA'!C247</f>
        <v>Flat</v>
      </c>
      <c r="E160" s="912" t="str">
        <f>'Marketing SoA'!D247</f>
        <v>TF F</v>
      </c>
      <c r="F160" s="912">
        <f>'Marketing SoA'!E247</f>
        <v>53.3</v>
      </c>
      <c r="G160" s="950">
        <f>'Marketing SoA'!F247</f>
        <v>573.71587</v>
      </c>
      <c r="H160" s="912" t="str">
        <f>'Marketing SoA'!G247</f>
        <v>1B2P</v>
      </c>
      <c r="I160" s="912">
        <f>'Marketing SoA'!H247</f>
        <v>1</v>
      </c>
      <c r="J160" s="912" t="str">
        <f>'Marketing SoA'!I247</f>
        <v>-</v>
      </c>
      <c r="K160" s="912" t="str">
        <f>'Marketing SoA'!J247</f>
        <v>On-site within MSCP</v>
      </c>
      <c r="L160" s="912" t="str">
        <f>'Marketing SoA'!K247</f>
        <v>Community Amenity</v>
      </c>
      <c r="M160" s="927" t="str">
        <f>'Marketing SoA'!L247</f>
        <v>-</v>
      </c>
      <c r="O160" s="1191"/>
      <c r="P160" s="1192"/>
      <c r="Q160" s="1192"/>
      <c r="R160" s="1192"/>
      <c r="S160" s="1193"/>
    </row>
    <row r="161" spans="1:19" ht="30" x14ac:dyDescent="0.25">
      <c r="A161" s="1275"/>
      <c r="B161" s="1267"/>
      <c r="C161" s="926">
        <f>'Marketing SoA'!B248</f>
        <v>242</v>
      </c>
      <c r="D161" s="912" t="str">
        <f>'Marketing SoA'!C248</f>
        <v>Flat</v>
      </c>
      <c r="E161" s="912" t="str">
        <f>'Marketing SoA'!D248</f>
        <v>TF F</v>
      </c>
      <c r="F161" s="912">
        <f>'Marketing SoA'!E248</f>
        <v>43.4</v>
      </c>
      <c r="G161" s="950">
        <f>'Marketing SoA'!F248</f>
        <v>467.15325999999999</v>
      </c>
      <c r="H161" s="912" t="str">
        <f>'Marketing SoA'!G248</f>
        <v>1B2P</v>
      </c>
      <c r="I161" s="912">
        <f>'Marketing SoA'!H248</f>
        <v>1</v>
      </c>
      <c r="J161" s="912" t="str">
        <f>'Marketing SoA'!I248</f>
        <v>-</v>
      </c>
      <c r="K161" s="912" t="str">
        <f>'Marketing SoA'!J248</f>
        <v>On-site within MSCP</v>
      </c>
      <c r="L161" s="912" t="str">
        <f>'Marketing SoA'!K248</f>
        <v>Community Amenity</v>
      </c>
      <c r="M161" s="927" t="str">
        <f>'Marketing SoA'!L248</f>
        <v>-</v>
      </c>
      <c r="O161" s="1191"/>
      <c r="P161" s="1192"/>
      <c r="Q161" s="1192"/>
      <c r="R161" s="1192"/>
      <c r="S161" s="1193"/>
    </row>
    <row r="162" spans="1:19" ht="30" x14ac:dyDescent="0.25">
      <c r="A162" s="1275"/>
      <c r="B162" s="1267"/>
      <c r="C162" s="926">
        <f>'Marketing SoA'!B249</f>
        <v>243</v>
      </c>
      <c r="D162" s="912" t="str">
        <f>'Marketing SoA'!C249</f>
        <v>Flat</v>
      </c>
      <c r="E162" s="912" t="str">
        <f>'Marketing SoA'!D249</f>
        <v>TF F</v>
      </c>
      <c r="F162" s="912">
        <f>'Marketing SoA'!E249</f>
        <v>43.4</v>
      </c>
      <c r="G162" s="950">
        <f>'Marketing SoA'!F249</f>
        <v>467.15325999999999</v>
      </c>
      <c r="H162" s="912" t="str">
        <f>'Marketing SoA'!G249</f>
        <v>1B2P</v>
      </c>
      <c r="I162" s="912">
        <f>'Marketing SoA'!H249</f>
        <v>1</v>
      </c>
      <c r="J162" s="912" t="str">
        <f>'Marketing SoA'!I249</f>
        <v>-</v>
      </c>
      <c r="K162" s="912" t="str">
        <f>'Marketing SoA'!J249</f>
        <v>On-site within MSCP</v>
      </c>
      <c r="L162" s="912" t="str">
        <f>'Marketing SoA'!K249</f>
        <v>Balcony</v>
      </c>
      <c r="M162" s="927" t="str">
        <f>'Marketing SoA'!L249</f>
        <v>-</v>
      </c>
      <c r="O162" s="1191"/>
      <c r="P162" s="1192"/>
      <c r="Q162" s="1192"/>
      <c r="R162" s="1192"/>
      <c r="S162" s="1193"/>
    </row>
    <row r="163" spans="1:19" ht="30" x14ac:dyDescent="0.25">
      <c r="A163" s="1275"/>
      <c r="B163" s="1267"/>
      <c r="C163" s="926">
        <f>'Marketing SoA'!B250</f>
        <v>244</v>
      </c>
      <c r="D163" s="912" t="str">
        <f>'Marketing SoA'!C250</f>
        <v>Flat</v>
      </c>
      <c r="E163" s="912" t="str">
        <f>'Marketing SoA'!D250</f>
        <v>TF F</v>
      </c>
      <c r="F163" s="912">
        <f>'Marketing SoA'!E250</f>
        <v>43.4</v>
      </c>
      <c r="G163" s="950">
        <f>'Marketing SoA'!F250</f>
        <v>467.15325999999999</v>
      </c>
      <c r="H163" s="912" t="str">
        <f>'Marketing SoA'!G250</f>
        <v>1B2P</v>
      </c>
      <c r="I163" s="912">
        <f>'Marketing SoA'!H250</f>
        <v>1</v>
      </c>
      <c r="J163" s="912" t="str">
        <f>'Marketing SoA'!I250</f>
        <v>-</v>
      </c>
      <c r="K163" s="912" t="str">
        <f>'Marketing SoA'!J250</f>
        <v>On-site within MSCP</v>
      </c>
      <c r="L163" s="912" t="str">
        <f>'Marketing SoA'!K250</f>
        <v>Community Amenity</v>
      </c>
      <c r="M163" s="927" t="str">
        <f>'Marketing SoA'!L250</f>
        <v>-</v>
      </c>
      <c r="O163" s="1191"/>
      <c r="P163" s="1192"/>
      <c r="Q163" s="1192"/>
      <c r="R163" s="1192"/>
      <c r="S163" s="1193"/>
    </row>
    <row r="164" spans="1:19" ht="30" x14ac:dyDescent="0.25">
      <c r="A164" s="1275"/>
      <c r="B164" s="1267"/>
      <c r="C164" s="926">
        <f>'Marketing SoA'!B251</f>
        <v>245</v>
      </c>
      <c r="D164" s="912" t="str">
        <f>'Marketing SoA'!C251</f>
        <v>Flat</v>
      </c>
      <c r="E164" s="912" t="str">
        <f>'Marketing SoA'!D251</f>
        <v>TF F</v>
      </c>
      <c r="F164" s="912">
        <f>'Marketing SoA'!E251</f>
        <v>43.4</v>
      </c>
      <c r="G164" s="950">
        <f>'Marketing SoA'!F251</f>
        <v>467.15325999999999</v>
      </c>
      <c r="H164" s="912" t="str">
        <f>'Marketing SoA'!G251</f>
        <v>1B2P</v>
      </c>
      <c r="I164" s="912">
        <f>'Marketing SoA'!H251</f>
        <v>1</v>
      </c>
      <c r="J164" s="912" t="str">
        <f>'Marketing SoA'!I251</f>
        <v>-</v>
      </c>
      <c r="K164" s="912" t="str">
        <f>'Marketing SoA'!J251</f>
        <v>On-site within MSCP</v>
      </c>
      <c r="L164" s="912" t="str">
        <f>'Marketing SoA'!K251</f>
        <v>Balcony</v>
      </c>
      <c r="M164" s="927" t="str">
        <f>'Marketing SoA'!L251</f>
        <v>-</v>
      </c>
      <c r="O164" s="1191"/>
      <c r="P164" s="1192"/>
      <c r="Q164" s="1192"/>
      <c r="R164" s="1192"/>
      <c r="S164" s="1193"/>
    </row>
    <row r="165" spans="1:19" ht="30" x14ac:dyDescent="0.25">
      <c r="A165" s="1275"/>
      <c r="B165" s="1267"/>
      <c r="C165" s="926">
        <f>'Marketing SoA'!B252</f>
        <v>246</v>
      </c>
      <c r="D165" s="912" t="str">
        <f>'Marketing SoA'!C252</f>
        <v>Flat</v>
      </c>
      <c r="E165" s="912" t="str">
        <f>'Marketing SoA'!D252</f>
        <v>TF F</v>
      </c>
      <c r="F165" s="912">
        <f>'Marketing SoA'!E252</f>
        <v>43.4</v>
      </c>
      <c r="G165" s="950">
        <f>'Marketing SoA'!F252</f>
        <v>467.15325999999999</v>
      </c>
      <c r="H165" s="912" t="str">
        <f>'Marketing SoA'!G252</f>
        <v>1B2P</v>
      </c>
      <c r="I165" s="912">
        <f>'Marketing SoA'!H252</f>
        <v>1</v>
      </c>
      <c r="J165" s="912" t="str">
        <f>'Marketing SoA'!I252</f>
        <v>-</v>
      </c>
      <c r="K165" s="912" t="str">
        <f>'Marketing SoA'!J252</f>
        <v>On-site within MSCP</v>
      </c>
      <c r="L165" s="912" t="str">
        <f>'Marketing SoA'!K252</f>
        <v>Community Amenity</v>
      </c>
      <c r="M165" s="927" t="str">
        <f>'Marketing SoA'!L252</f>
        <v>-</v>
      </c>
      <c r="O165" s="1191"/>
      <c r="P165" s="1192"/>
      <c r="Q165" s="1192"/>
      <c r="R165" s="1192"/>
      <c r="S165" s="1193"/>
    </row>
    <row r="166" spans="1:19" ht="30" x14ac:dyDescent="0.25">
      <c r="A166" s="1275"/>
      <c r="B166" s="1267"/>
      <c r="C166" s="926">
        <f>'Marketing SoA'!B253</f>
        <v>247</v>
      </c>
      <c r="D166" s="912" t="str">
        <f>'Marketing SoA'!C253</f>
        <v>Flat</v>
      </c>
      <c r="E166" s="912" t="str">
        <f>'Marketing SoA'!D253</f>
        <v>TF F</v>
      </c>
      <c r="F166" s="912">
        <f>'Marketing SoA'!E253</f>
        <v>43.4</v>
      </c>
      <c r="G166" s="950">
        <f>'Marketing SoA'!F253</f>
        <v>467.15325999999999</v>
      </c>
      <c r="H166" s="912" t="str">
        <f>'Marketing SoA'!G253</f>
        <v>1B2P</v>
      </c>
      <c r="I166" s="912">
        <f>'Marketing SoA'!H253</f>
        <v>1</v>
      </c>
      <c r="J166" s="912" t="str">
        <f>'Marketing SoA'!I253</f>
        <v>-</v>
      </c>
      <c r="K166" s="912" t="str">
        <f>'Marketing SoA'!J253</f>
        <v>On-site within MSCP</v>
      </c>
      <c r="L166" s="912" t="str">
        <f>'Marketing SoA'!K253</f>
        <v>Balcony</v>
      </c>
      <c r="M166" s="927" t="str">
        <f>'Marketing SoA'!L253</f>
        <v>-</v>
      </c>
      <c r="O166" s="1191"/>
      <c r="P166" s="1192"/>
      <c r="Q166" s="1192"/>
      <c r="R166" s="1192"/>
      <c r="S166" s="1193"/>
    </row>
    <row r="167" spans="1:19" ht="30" x14ac:dyDescent="0.25">
      <c r="A167" s="1275"/>
      <c r="B167" s="1267"/>
      <c r="C167" s="926">
        <f>'Marketing SoA'!B254</f>
        <v>248</v>
      </c>
      <c r="D167" s="912" t="str">
        <f>'Marketing SoA'!C254</f>
        <v>Flat</v>
      </c>
      <c r="E167" s="912" t="str">
        <f>'Marketing SoA'!D254</f>
        <v>TF F</v>
      </c>
      <c r="F167" s="912">
        <f>'Marketing SoA'!E254</f>
        <v>43.4</v>
      </c>
      <c r="G167" s="950">
        <f>'Marketing SoA'!F254</f>
        <v>467.15325999999999</v>
      </c>
      <c r="H167" s="912" t="str">
        <f>'Marketing SoA'!G254</f>
        <v>1B2P</v>
      </c>
      <c r="I167" s="912">
        <f>'Marketing SoA'!H254</f>
        <v>1</v>
      </c>
      <c r="J167" s="912" t="str">
        <f>'Marketing SoA'!I254</f>
        <v>-</v>
      </c>
      <c r="K167" s="912" t="str">
        <f>'Marketing SoA'!J254</f>
        <v>On-site within MSCP</v>
      </c>
      <c r="L167" s="912" t="str">
        <f>'Marketing SoA'!K254</f>
        <v>Community Amenity</v>
      </c>
      <c r="M167" s="927" t="str">
        <f>'Marketing SoA'!L254</f>
        <v>-</v>
      </c>
      <c r="O167" s="1191"/>
      <c r="P167" s="1192"/>
      <c r="Q167" s="1192"/>
      <c r="R167" s="1192"/>
      <c r="S167" s="1193"/>
    </row>
    <row r="168" spans="1:19" ht="30" x14ac:dyDescent="0.25">
      <c r="A168" s="1275"/>
      <c r="B168" s="1267"/>
      <c r="C168" s="926">
        <f>'Marketing SoA'!B255</f>
        <v>249</v>
      </c>
      <c r="D168" s="912" t="str">
        <f>'Marketing SoA'!C255</f>
        <v>Flat</v>
      </c>
      <c r="E168" s="912" t="str">
        <f>'Marketing SoA'!D255</f>
        <v>TF F</v>
      </c>
      <c r="F168" s="912">
        <f>'Marketing SoA'!E255</f>
        <v>51.2</v>
      </c>
      <c r="G168" s="950">
        <f>'Marketing SoA'!F255</f>
        <v>551.11167999999998</v>
      </c>
      <c r="H168" s="912" t="str">
        <f>'Marketing SoA'!G255</f>
        <v>1B2P</v>
      </c>
      <c r="I168" s="912">
        <f>'Marketing SoA'!H255</f>
        <v>1</v>
      </c>
      <c r="J168" s="912" t="str">
        <f>'Marketing SoA'!I255</f>
        <v>-</v>
      </c>
      <c r="K168" s="912" t="str">
        <f>'Marketing SoA'!J255</f>
        <v>On-site within MSCP</v>
      </c>
      <c r="L168" s="912" t="str">
        <f>'Marketing SoA'!K255</f>
        <v>Balcony</v>
      </c>
      <c r="M168" s="927" t="str">
        <f>'Marketing SoA'!L255</f>
        <v>-</v>
      </c>
      <c r="O168" s="1191"/>
      <c r="P168" s="1192"/>
      <c r="Q168" s="1192"/>
      <c r="R168" s="1192"/>
      <c r="S168" s="1193"/>
    </row>
    <row r="169" spans="1:19" ht="30" x14ac:dyDescent="0.25">
      <c r="A169" s="1275"/>
      <c r="B169" s="1267"/>
      <c r="C169" s="926">
        <f>'Marketing SoA'!B256</f>
        <v>250</v>
      </c>
      <c r="D169" s="912" t="str">
        <f>'Marketing SoA'!C256</f>
        <v>Flat</v>
      </c>
      <c r="E169" s="912" t="str">
        <f>'Marketing SoA'!D256</f>
        <v>TF F</v>
      </c>
      <c r="F169" s="912">
        <f>'Marketing SoA'!E256</f>
        <v>43.4</v>
      </c>
      <c r="G169" s="950">
        <f>'Marketing SoA'!F256</f>
        <v>467.15325999999999</v>
      </c>
      <c r="H169" s="912" t="str">
        <f>'Marketing SoA'!G256</f>
        <v>1B2P</v>
      </c>
      <c r="I169" s="912">
        <f>'Marketing SoA'!H256</f>
        <v>1</v>
      </c>
      <c r="J169" s="912" t="str">
        <f>'Marketing SoA'!I256</f>
        <v>-</v>
      </c>
      <c r="K169" s="912" t="str">
        <f>'Marketing SoA'!J256</f>
        <v>On-site within MSCP</v>
      </c>
      <c r="L169" s="912" t="str">
        <f>'Marketing SoA'!K256</f>
        <v>Community Amenity</v>
      </c>
      <c r="M169" s="927" t="str">
        <f>'Marketing SoA'!L256</f>
        <v>-</v>
      </c>
      <c r="O169" s="1191"/>
      <c r="P169" s="1192"/>
      <c r="Q169" s="1192"/>
      <c r="R169" s="1192"/>
      <c r="S169" s="1193"/>
    </row>
    <row r="170" spans="1:19" ht="30" x14ac:dyDescent="0.25">
      <c r="A170" s="1275"/>
      <c r="B170" s="1267"/>
      <c r="C170" s="926">
        <f>'Marketing SoA'!B257</f>
        <v>251</v>
      </c>
      <c r="D170" s="912" t="str">
        <f>'Marketing SoA'!C257</f>
        <v>Flat</v>
      </c>
      <c r="E170" s="912" t="str">
        <f>'Marketing SoA'!D257</f>
        <v>TF F</v>
      </c>
      <c r="F170" s="912">
        <f>'Marketing SoA'!E257</f>
        <v>43.4</v>
      </c>
      <c r="G170" s="950">
        <f>'Marketing SoA'!F257</f>
        <v>467.15325999999999</v>
      </c>
      <c r="H170" s="912" t="str">
        <f>'Marketing SoA'!G257</f>
        <v>1B2P</v>
      </c>
      <c r="I170" s="912">
        <f>'Marketing SoA'!H257</f>
        <v>1</v>
      </c>
      <c r="J170" s="912" t="str">
        <f>'Marketing SoA'!I257</f>
        <v>-</v>
      </c>
      <c r="K170" s="912" t="str">
        <f>'Marketing SoA'!J257</f>
        <v>On-site within MSCP</v>
      </c>
      <c r="L170" s="912" t="str">
        <f>'Marketing SoA'!K257</f>
        <v>Community Amenity</v>
      </c>
      <c r="M170" s="927" t="str">
        <f>'Marketing SoA'!L257</f>
        <v>-</v>
      </c>
      <c r="O170" s="1191"/>
      <c r="P170" s="1192"/>
      <c r="Q170" s="1192"/>
      <c r="R170" s="1192"/>
      <c r="S170" s="1193"/>
    </row>
    <row r="171" spans="1:19" ht="30" x14ac:dyDescent="0.25">
      <c r="A171" s="1275"/>
      <c r="B171" s="1267"/>
      <c r="C171" s="926">
        <f>'Marketing SoA'!B258</f>
        <v>252</v>
      </c>
      <c r="D171" s="912" t="str">
        <f>'Marketing SoA'!C258</f>
        <v>Flat</v>
      </c>
      <c r="E171" s="912" t="str">
        <f>'Marketing SoA'!D258</f>
        <v>TF F</v>
      </c>
      <c r="F171" s="912">
        <f>'Marketing SoA'!E258</f>
        <v>57.8</v>
      </c>
      <c r="G171" s="950">
        <f>'Marketing SoA'!F258</f>
        <v>622.15341999999998</v>
      </c>
      <c r="H171" s="912" t="str">
        <f>'Marketing SoA'!G258</f>
        <v>1B2P</v>
      </c>
      <c r="I171" s="912">
        <f>'Marketing SoA'!H258</f>
        <v>1</v>
      </c>
      <c r="J171" s="912" t="str">
        <f>'Marketing SoA'!I258</f>
        <v>-</v>
      </c>
      <c r="K171" s="912" t="str">
        <f>'Marketing SoA'!J258</f>
        <v>On-site within MSCP</v>
      </c>
      <c r="L171" s="912" t="str">
        <f>'Marketing SoA'!K258</f>
        <v>Balcony</v>
      </c>
      <c r="M171" s="927">
        <f>'Marketing SoA'!L258</f>
        <v>74</v>
      </c>
      <c r="O171" s="1191"/>
      <c r="P171" s="1192"/>
      <c r="Q171" s="1192"/>
      <c r="R171" s="1192"/>
      <c r="S171" s="1193"/>
    </row>
    <row r="172" spans="1:19" ht="30" x14ac:dyDescent="0.25">
      <c r="A172" s="1275"/>
      <c r="B172" s="1267"/>
      <c r="C172" s="926">
        <f>'Marketing SoA'!B259</f>
        <v>253</v>
      </c>
      <c r="D172" s="912" t="str">
        <f>'Marketing SoA'!C259</f>
        <v>Flat</v>
      </c>
      <c r="E172" s="912" t="str">
        <f>'Marketing SoA'!D259</f>
        <v>4F F</v>
      </c>
      <c r="F172" s="912">
        <f>'Marketing SoA'!E259</f>
        <v>43.4</v>
      </c>
      <c r="G172" s="950">
        <f>'Marketing SoA'!F259</f>
        <v>467.15325999999999</v>
      </c>
      <c r="H172" s="912" t="str">
        <f>'Marketing SoA'!G259</f>
        <v>1B2P</v>
      </c>
      <c r="I172" s="912">
        <f>'Marketing SoA'!H259</f>
        <v>1</v>
      </c>
      <c r="J172" s="912" t="str">
        <f>'Marketing SoA'!I259</f>
        <v>-</v>
      </c>
      <c r="K172" s="912" t="str">
        <f>'Marketing SoA'!J259</f>
        <v>On-site within MSCP</v>
      </c>
      <c r="L172" s="912" t="str">
        <f>'Marketing SoA'!K259</f>
        <v>Community Amenity</v>
      </c>
      <c r="M172" s="927" t="str">
        <f>'Marketing SoA'!L259</f>
        <v>-</v>
      </c>
      <c r="O172" s="1191"/>
      <c r="P172" s="1192"/>
      <c r="Q172" s="1192"/>
      <c r="R172" s="1192"/>
      <c r="S172" s="1193"/>
    </row>
    <row r="173" spans="1:19" ht="30" x14ac:dyDescent="0.25">
      <c r="A173" s="1275"/>
      <c r="B173" s="1267"/>
      <c r="C173" s="926">
        <f>'Marketing SoA'!B260</f>
        <v>254</v>
      </c>
      <c r="D173" s="912" t="str">
        <f>'Marketing SoA'!C260</f>
        <v>Flat</v>
      </c>
      <c r="E173" s="912" t="str">
        <f>'Marketing SoA'!D260</f>
        <v>4F F</v>
      </c>
      <c r="F173" s="912">
        <f>'Marketing SoA'!E260</f>
        <v>43.4</v>
      </c>
      <c r="G173" s="950">
        <f>'Marketing SoA'!F260</f>
        <v>467.15325999999999</v>
      </c>
      <c r="H173" s="912" t="str">
        <f>'Marketing SoA'!G260</f>
        <v>1B2P</v>
      </c>
      <c r="I173" s="912">
        <f>'Marketing SoA'!H260</f>
        <v>1</v>
      </c>
      <c r="J173" s="912" t="str">
        <f>'Marketing SoA'!I260</f>
        <v>-</v>
      </c>
      <c r="K173" s="912" t="str">
        <f>'Marketing SoA'!J260</f>
        <v>On-site within MSCP</v>
      </c>
      <c r="L173" s="912" t="str">
        <f>'Marketing SoA'!K260</f>
        <v>Balcony</v>
      </c>
      <c r="M173" s="927">
        <f>'Marketing SoA'!L260</f>
        <v>89</v>
      </c>
      <c r="O173" s="1191"/>
      <c r="P173" s="1192"/>
      <c r="Q173" s="1192"/>
      <c r="R173" s="1192"/>
      <c r="S173" s="1193"/>
    </row>
    <row r="174" spans="1:19" ht="30" x14ac:dyDescent="0.25">
      <c r="A174" s="1275"/>
      <c r="B174" s="1267"/>
      <c r="C174" s="926">
        <f>'Marketing SoA'!B261</f>
        <v>255</v>
      </c>
      <c r="D174" s="912" t="str">
        <f>'Marketing SoA'!C261</f>
        <v>Flat</v>
      </c>
      <c r="E174" s="912" t="str">
        <f>'Marketing SoA'!D261</f>
        <v>4F F</v>
      </c>
      <c r="F174" s="912">
        <f>'Marketing SoA'!E261</f>
        <v>43.4</v>
      </c>
      <c r="G174" s="950">
        <f>'Marketing SoA'!F261</f>
        <v>467.15325999999999</v>
      </c>
      <c r="H174" s="912" t="str">
        <f>'Marketing SoA'!G261</f>
        <v>1B2P</v>
      </c>
      <c r="I174" s="912">
        <f>'Marketing SoA'!H261</f>
        <v>1</v>
      </c>
      <c r="J174" s="912" t="str">
        <f>'Marketing SoA'!I261</f>
        <v>-</v>
      </c>
      <c r="K174" s="912" t="str">
        <f>'Marketing SoA'!J261</f>
        <v>On-site within MSCP</v>
      </c>
      <c r="L174" s="912" t="str">
        <f>'Marketing SoA'!K261</f>
        <v>Community Amenity</v>
      </c>
      <c r="M174" s="927" t="str">
        <f>'Marketing SoA'!L261</f>
        <v>-</v>
      </c>
      <c r="O174" s="1191"/>
      <c r="P174" s="1192"/>
      <c r="Q174" s="1192"/>
      <c r="R174" s="1192"/>
      <c r="S174" s="1193"/>
    </row>
    <row r="175" spans="1:19" ht="30" x14ac:dyDescent="0.25">
      <c r="A175" s="1275"/>
      <c r="B175" s="1267"/>
      <c r="C175" s="926">
        <f>'Marketing SoA'!B262</f>
        <v>256</v>
      </c>
      <c r="D175" s="912" t="str">
        <f>'Marketing SoA'!C262</f>
        <v>Flat</v>
      </c>
      <c r="E175" s="912" t="str">
        <f>'Marketing SoA'!D262</f>
        <v>4F F</v>
      </c>
      <c r="F175" s="912">
        <f>'Marketing SoA'!E262</f>
        <v>43.4</v>
      </c>
      <c r="G175" s="950">
        <f>'Marketing SoA'!F262</f>
        <v>467.15325999999999</v>
      </c>
      <c r="H175" s="912" t="str">
        <f>'Marketing SoA'!G262</f>
        <v>1B2P</v>
      </c>
      <c r="I175" s="912">
        <f>'Marketing SoA'!H262</f>
        <v>1</v>
      </c>
      <c r="J175" s="912" t="str">
        <f>'Marketing SoA'!I262</f>
        <v>-</v>
      </c>
      <c r="K175" s="912" t="str">
        <f>'Marketing SoA'!J262</f>
        <v>On-site within MSCP</v>
      </c>
      <c r="L175" s="912" t="str">
        <f>'Marketing SoA'!K262</f>
        <v>Balcony</v>
      </c>
      <c r="M175" s="927">
        <f>'Marketing SoA'!L262</f>
        <v>89</v>
      </c>
      <c r="O175" s="1191"/>
      <c r="P175" s="1192"/>
      <c r="Q175" s="1192"/>
      <c r="R175" s="1192"/>
      <c r="S175" s="1193"/>
    </row>
    <row r="176" spans="1:19" ht="30" x14ac:dyDescent="0.25">
      <c r="A176" s="1275"/>
      <c r="B176" s="1267"/>
      <c r="C176" s="926">
        <f>'Marketing SoA'!B263</f>
        <v>257</v>
      </c>
      <c r="D176" s="912" t="str">
        <f>'Marketing SoA'!C263</f>
        <v>Flat</v>
      </c>
      <c r="E176" s="912" t="str">
        <f>'Marketing SoA'!D263</f>
        <v>4F F</v>
      </c>
      <c r="F176" s="912">
        <f>'Marketing SoA'!E263</f>
        <v>43.4</v>
      </c>
      <c r="G176" s="950">
        <f>'Marketing SoA'!F263</f>
        <v>467.15325999999999</v>
      </c>
      <c r="H176" s="912" t="str">
        <f>'Marketing SoA'!G263</f>
        <v>1B2P</v>
      </c>
      <c r="I176" s="912">
        <f>'Marketing SoA'!H263</f>
        <v>1</v>
      </c>
      <c r="J176" s="912" t="str">
        <f>'Marketing SoA'!I263</f>
        <v>-</v>
      </c>
      <c r="K176" s="912" t="str">
        <f>'Marketing SoA'!J263</f>
        <v>On-site within MSCP</v>
      </c>
      <c r="L176" s="912" t="str">
        <f>'Marketing SoA'!K263</f>
        <v>Community Amenity</v>
      </c>
      <c r="M176" s="927" t="str">
        <f>'Marketing SoA'!L263</f>
        <v>-</v>
      </c>
      <c r="O176" s="1191"/>
      <c r="P176" s="1192"/>
      <c r="Q176" s="1192"/>
      <c r="R176" s="1192"/>
      <c r="S176" s="1193"/>
    </row>
    <row r="177" spans="1:19" ht="30" x14ac:dyDescent="0.25">
      <c r="A177" s="1275"/>
      <c r="B177" s="1267"/>
      <c r="C177" s="926">
        <f>'Marketing SoA'!B264</f>
        <v>258</v>
      </c>
      <c r="D177" s="912" t="str">
        <f>'Marketing SoA'!C264</f>
        <v>Flat</v>
      </c>
      <c r="E177" s="912" t="str">
        <f>'Marketing SoA'!D264</f>
        <v>4F F</v>
      </c>
      <c r="F177" s="912">
        <f>'Marketing SoA'!E264</f>
        <v>43.4</v>
      </c>
      <c r="G177" s="950">
        <f>'Marketing SoA'!F264</f>
        <v>467.15325999999999</v>
      </c>
      <c r="H177" s="912" t="str">
        <f>'Marketing SoA'!G264</f>
        <v>1B2P</v>
      </c>
      <c r="I177" s="912">
        <f>'Marketing SoA'!H264</f>
        <v>1</v>
      </c>
      <c r="J177" s="912" t="str">
        <f>'Marketing SoA'!I264</f>
        <v>-</v>
      </c>
      <c r="K177" s="912" t="str">
        <f>'Marketing SoA'!J264</f>
        <v>On-site within MSCP</v>
      </c>
      <c r="L177" s="912" t="str">
        <f>'Marketing SoA'!K264</f>
        <v>Balcony</v>
      </c>
      <c r="M177" s="927">
        <f>'Marketing SoA'!L264</f>
        <v>89</v>
      </c>
      <c r="O177" s="1191"/>
      <c r="P177" s="1192"/>
      <c r="Q177" s="1192"/>
      <c r="R177" s="1192"/>
      <c r="S177" s="1193"/>
    </row>
    <row r="178" spans="1:19" ht="30" x14ac:dyDescent="0.25">
      <c r="A178" s="1275"/>
      <c r="B178" s="1267"/>
      <c r="C178" s="926">
        <f>'Marketing SoA'!B265</f>
        <v>259</v>
      </c>
      <c r="D178" s="912" t="str">
        <f>'Marketing SoA'!C265</f>
        <v>Flat</v>
      </c>
      <c r="E178" s="912" t="str">
        <f>'Marketing SoA'!D265</f>
        <v>4F F</v>
      </c>
      <c r="F178" s="912">
        <f>'Marketing SoA'!E265</f>
        <v>43.4</v>
      </c>
      <c r="G178" s="950">
        <f>'Marketing SoA'!F265</f>
        <v>467.15325999999999</v>
      </c>
      <c r="H178" s="912" t="str">
        <f>'Marketing SoA'!G265</f>
        <v>1B2P</v>
      </c>
      <c r="I178" s="912">
        <f>'Marketing SoA'!H265</f>
        <v>1</v>
      </c>
      <c r="J178" s="912" t="str">
        <f>'Marketing SoA'!I265</f>
        <v>-</v>
      </c>
      <c r="K178" s="912" t="str">
        <f>'Marketing SoA'!J265</f>
        <v>On-site within MSCP</v>
      </c>
      <c r="L178" s="912" t="str">
        <f>'Marketing SoA'!K265</f>
        <v>Community Amenity</v>
      </c>
      <c r="M178" s="927" t="str">
        <f>'Marketing SoA'!L265</f>
        <v>-</v>
      </c>
      <c r="O178" s="1191"/>
      <c r="P178" s="1192"/>
      <c r="Q178" s="1192"/>
      <c r="R178" s="1192"/>
      <c r="S178" s="1193"/>
    </row>
    <row r="179" spans="1:19" ht="30" x14ac:dyDescent="0.25">
      <c r="A179" s="1275"/>
      <c r="B179" s="1267"/>
      <c r="C179" s="926">
        <f>'Marketing SoA'!B266</f>
        <v>260</v>
      </c>
      <c r="D179" s="912" t="str">
        <f>'Marketing SoA'!C266</f>
        <v>Flat</v>
      </c>
      <c r="E179" s="912" t="str">
        <f>'Marketing SoA'!D266</f>
        <v>4F F</v>
      </c>
      <c r="F179" s="912">
        <f>'Marketing SoA'!E266</f>
        <v>51.2</v>
      </c>
      <c r="G179" s="950">
        <f>'Marketing SoA'!F266</f>
        <v>551.11167999999998</v>
      </c>
      <c r="H179" s="912" t="str">
        <f>'Marketing SoA'!G266</f>
        <v>1B2P</v>
      </c>
      <c r="I179" s="912">
        <f>'Marketing SoA'!H266</f>
        <v>1</v>
      </c>
      <c r="J179" s="912" t="str">
        <f>'Marketing SoA'!I266</f>
        <v>-</v>
      </c>
      <c r="K179" s="912" t="str">
        <f>'Marketing SoA'!J266</f>
        <v>On-site within MSCP</v>
      </c>
      <c r="L179" s="912" t="str">
        <f>'Marketing SoA'!K266</f>
        <v>Balcony</v>
      </c>
      <c r="M179" s="927">
        <f>'Marketing SoA'!L266</f>
        <v>89</v>
      </c>
      <c r="O179" s="1191"/>
      <c r="P179" s="1192"/>
      <c r="Q179" s="1192"/>
      <c r="R179" s="1192"/>
      <c r="S179" s="1193"/>
    </row>
    <row r="180" spans="1:19" ht="30" x14ac:dyDescent="0.25">
      <c r="A180" s="1275"/>
      <c r="B180" s="1267"/>
      <c r="C180" s="926">
        <f>'Marketing SoA'!B267</f>
        <v>261</v>
      </c>
      <c r="D180" s="912" t="str">
        <f>'Marketing SoA'!C267</f>
        <v>Flat</v>
      </c>
      <c r="E180" s="912" t="str">
        <f>'Marketing SoA'!D267</f>
        <v>4F F</v>
      </c>
      <c r="F180" s="912">
        <f>'Marketing SoA'!E267</f>
        <v>43.4</v>
      </c>
      <c r="G180" s="950">
        <f>'Marketing SoA'!F267</f>
        <v>467.15325999999999</v>
      </c>
      <c r="H180" s="912" t="str">
        <f>'Marketing SoA'!G267</f>
        <v>1B2P</v>
      </c>
      <c r="I180" s="912">
        <f>'Marketing SoA'!H267</f>
        <v>1</v>
      </c>
      <c r="J180" s="912" t="str">
        <f>'Marketing SoA'!I267</f>
        <v>-</v>
      </c>
      <c r="K180" s="912" t="str">
        <f>'Marketing SoA'!J267</f>
        <v>On-site within MSCP</v>
      </c>
      <c r="L180" s="912" t="str">
        <f>'Marketing SoA'!K267</f>
        <v>Community Amenity</v>
      </c>
      <c r="M180" s="927" t="str">
        <f>'Marketing SoA'!L267</f>
        <v>-</v>
      </c>
      <c r="O180" s="1191"/>
      <c r="P180" s="1192"/>
      <c r="Q180" s="1192"/>
      <c r="R180" s="1192"/>
      <c r="S180" s="1193"/>
    </row>
    <row r="181" spans="1:19" ht="30" x14ac:dyDescent="0.25">
      <c r="A181" s="1275"/>
      <c r="B181" s="1267"/>
      <c r="C181" s="926">
        <f>'Marketing SoA'!B268</f>
        <v>262</v>
      </c>
      <c r="D181" s="912" t="str">
        <f>'Marketing SoA'!C268</f>
        <v>Flat</v>
      </c>
      <c r="E181" s="912" t="str">
        <f>'Marketing SoA'!D268</f>
        <v>4F F</v>
      </c>
      <c r="F181" s="912">
        <f>'Marketing SoA'!E268</f>
        <v>43.4</v>
      </c>
      <c r="G181" s="950">
        <f>'Marketing SoA'!F268</f>
        <v>467.15325999999999</v>
      </c>
      <c r="H181" s="912" t="str">
        <f>'Marketing SoA'!G268</f>
        <v>1B2P</v>
      </c>
      <c r="I181" s="912">
        <f>'Marketing SoA'!H268</f>
        <v>1</v>
      </c>
      <c r="J181" s="912" t="str">
        <f>'Marketing SoA'!I268</f>
        <v>-</v>
      </c>
      <c r="K181" s="912" t="str">
        <f>'Marketing SoA'!J268</f>
        <v>On-site within MSCP</v>
      </c>
      <c r="L181" s="912" t="str">
        <f>'Marketing SoA'!K268</f>
        <v>Community Amenity</v>
      </c>
      <c r="M181" s="927" t="str">
        <f>'Marketing SoA'!L268</f>
        <v>-</v>
      </c>
      <c r="O181" s="1191"/>
      <c r="P181" s="1192"/>
      <c r="Q181" s="1192"/>
      <c r="R181" s="1192"/>
      <c r="S181" s="1193"/>
    </row>
    <row r="182" spans="1:19" ht="30" x14ac:dyDescent="0.25">
      <c r="A182" s="1275"/>
      <c r="B182" s="1267"/>
      <c r="C182" s="926">
        <f>'Marketing SoA'!B269</f>
        <v>263</v>
      </c>
      <c r="D182" s="912" t="str">
        <f>'Marketing SoA'!C269</f>
        <v>Flat</v>
      </c>
      <c r="E182" s="912" t="str">
        <f>'Marketing SoA'!D269</f>
        <v>5F F</v>
      </c>
      <c r="F182" s="912">
        <f>'Marketing SoA'!E269</f>
        <v>43.4</v>
      </c>
      <c r="G182" s="950">
        <f>'Marketing SoA'!F269</f>
        <v>467.15325999999999</v>
      </c>
      <c r="H182" s="912" t="str">
        <f>'Marketing SoA'!G269</f>
        <v>1B2P</v>
      </c>
      <c r="I182" s="912">
        <f>'Marketing SoA'!H269</f>
        <v>1</v>
      </c>
      <c r="J182" s="912" t="str">
        <f>'Marketing SoA'!I269</f>
        <v>-</v>
      </c>
      <c r="K182" s="912" t="str">
        <f>'Marketing SoA'!J269</f>
        <v>On-site within MSCP</v>
      </c>
      <c r="L182" s="912" t="str">
        <f>'Marketing SoA'!K269</f>
        <v>Community Amenity</v>
      </c>
      <c r="M182" s="927" t="str">
        <f>'Marketing SoA'!L269</f>
        <v>-</v>
      </c>
      <c r="O182" s="1191"/>
      <c r="P182" s="1192"/>
      <c r="Q182" s="1192"/>
      <c r="R182" s="1192"/>
      <c r="S182" s="1193"/>
    </row>
    <row r="183" spans="1:19" ht="30" x14ac:dyDescent="0.25">
      <c r="A183" s="1275"/>
      <c r="B183" s="1267"/>
      <c r="C183" s="926">
        <f>'Marketing SoA'!B270</f>
        <v>264</v>
      </c>
      <c r="D183" s="912" t="str">
        <f>'Marketing SoA'!C270</f>
        <v>Flat</v>
      </c>
      <c r="E183" s="912" t="str">
        <f>'Marketing SoA'!D270</f>
        <v>5F F</v>
      </c>
      <c r="F183" s="912">
        <f>'Marketing SoA'!E270</f>
        <v>43.4</v>
      </c>
      <c r="G183" s="950">
        <f>'Marketing SoA'!F270</f>
        <v>467.15325999999999</v>
      </c>
      <c r="H183" s="912" t="str">
        <f>'Marketing SoA'!G270</f>
        <v>1B2P</v>
      </c>
      <c r="I183" s="912">
        <f>'Marketing SoA'!H270</f>
        <v>1</v>
      </c>
      <c r="J183" s="912" t="str">
        <f>'Marketing SoA'!I270</f>
        <v>-</v>
      </c>
      <c r="K183" s="912" t="str">
        <f>'Marketing SoA'!J270</f>
        <v>On-site within MSCP</v>
      </c>
      <c r="L183" s="912" t="str">
        <f>'Marketing SoA'!K270</f>
        <v>Balcony</v>
      </c>
      <c r="M183" s="927" t="str">
        <f>'Marketing SoA'!L270</f>
        <v>-</v>
      </c>
      <c r="O183" s="1191"/>
      <c r="P183" s="1192"/>
      <c r="Q183" s="1192"/>
      <c r="R183" s="1192"/>
      <c r="S183" s="1193"/>
    </row>
    <row r="184" spans="1:19" ht="30" x14ac:dyDescent="0.25">
      <c r="A184" s="1275"/>
      <c r="B184" s="1267"/>
      <c r="C184" s="926">
        <f>'Marketing SoA'!B271</f>
        <v>265</v>
      </c>
      <c r="D184" s="912" t="str">
        <f>'Marketing SoA'!C271</f>
        <v>Flat</v>
      </c>
      <c r="E184" s="912" t="str">
        <f>'Marketing SoA'!D271</f>
        <v>5F F</v>
      </c>
      <c r="F184" s="912">
        <f>'Marketing SoA'!E271</f>
        <v>43.4</v>
      </c>
      <c r="G184" s="950">
        <f>'Marketing SoA'!F271</f>
        <v>467.15325999999999</v>
      </c>
      <c r="H184" s="912" t="str">
        <f>'Marketing SoA'!G271</f>
        <v>1B2P</v>
      </c>
      <c r="I184" s="912">
        <f>'Marketing SoA'!H271</f>
        <v>1</v>
      </c>
      <c r="J184" s="912" t="str">
        <f>'Marketing SoA'!I271</f>
        <v>-</v>
      </c>
      <c r="K184" s="912" t="str">
        <f>'Marketing SoA'!J271</f>
        <v>On-site within MSCP</v>
      </c>
      <c r="L184" s="912" t="str">
        <f>'Marketing SoA'!K271</f>
        <v>Community Amenity</v>
      </c>
      <c r="M184" s="927" t="str">
        <f>'Marketing SoA'!L271</f>
        <v>-</v>
      </c>
      <c r="O184" s="1191"/>
      <c r="P184" s="1192"/>
      <c r="Q184" s="1192"/>
      <c r="R184" s="1192"/>
      <c r="S184" s="1193"/>
    </row>
    <row r="185" spans="1:19" ht="30" x14ac:dyDescent="0.25">
      <c r="A185" s="1275"/>
      <c r="B185" s="1267"/>
      <c r="C185" s="926">
        <f>'Marketing SoA'!B272</f>
        <v>266</v>
      </c>
      <c r="D185" s="912" t="str">
        <f>'Marketing SoA'!C272</f>
        <v>Flat</v>
      </c>
      <c r="E185" s="912" t="str">
        <f>'Marketing SoA'!D272</f>
        <v>5F F</v>
      </c>
      <c r="F185" s="912">
        <f>'Marketing SoA'!E272</f>
        <v>43.4</v>
      </c>
      <c r="G185" s="950">
        <f>'Marketing SoA'!F272</f>
        <v>467.15325999999999</v>
      </c>
      <c r="H185" s="912" t="str">
        <f>'Marketing SoA'!G272</f>
        <v>1B2P</v>
      </c>
      <c r="I185" s="912">
        <f>'Marketing SoA'!H272</f>
        <v>1</v>
      </c>
      <c r="J185" s="912" t="str">
        <f>'Marketing SoA'!I272</f>
        <v>-</v>
      </c>
      <c r="K185" s="912" t="str">
        <f>'Marketing SoA'!J272</f>
        <v>On-site within MSCP</v>
      </c>
      <c r="L185" s="912" t="str">
        <f>'Marketing SoA'!K272</f>
        <v>Balcony</v>
      </c>
      <c r="M185" s="927" t="str">
        <f>'Marketing SoA'!L272</f>
        <v>-</v>
      </c>
      <c r="O185" s="1191"/>
      <c r="P185" s="1192"/>
      <c r="Q185" s="1192"/>
      <c r="R185" s="1192"/>
      <c r="S185" s="1193"/>
    </row>
    <row r="186" spans="1:19" ht="30" x14ac:dyDescent="0.25">
      <c r="A186" s="1275"/>
      <c r="B186" s="1267"/>
      <c r="C186" s="926">
        <f>'Marketing SoA'!B273</f>
        <v>267</v>
      </c>
      <c r="D186" s="912" t="str">
        <f>'Marketing SoA'!C273</f>
        <v>Flat</v>
      </c>
      <c r="E186" s="912" t="str">
        <f>'Marketing SoA'!D273</f>
        <v>5F F</v>
      </c>
      <c r="F186" s="912">
        <f>'Marketing SoA'!E273</f>
        <v>43.4</v>
      </c>
      <c r="G186" s="950">
        <f>'Marketing SoA'!F273</f>
        <v>467.15325999999999</v>
      </c>
      <c r="H186" s="912" t="str">
        <f>'Marketing SoA'!G273</f>
        <v>1B2P</v>
      </c>
      <c r="I186" s="912">
        <f>'Marketing SoA'!H273</f>
        <v>1</v>
      </c>
      <c r="J186" s="912" t="str">
        <f>'Marketing SoA'!I273</f>
        <v>-</v>
      </c>
      <c r="K186" s="912" t="str">
        <f>'Marketing SoA'!J273</f>
        <v>On-site within MSCP</v>
      </c>
      <c r="L186" s="912" t="str">
        <f>'Marketing SoA'!K273</f>
        <v>Community Amenity</v>
      </c>
      <c r="M186" s="927" t="str">
        <f>'Marketing SoA'!L273</f>
        <v>-</v>
      </c>
      <c r="O186" s="1191"/>
      <c r="P186" s="1192"/>
      <c r="Q186" s="1192"/>
      <c r="R186" s="1192"/>
      <c r="S186" s="1193"/>
    </row>
    <row r="187" spans="1:19" ht="30" x14ac:dyDescent="0.25">
      <c r="A187" s="1275"/>
      <c r="B187" s="1267"/>
      <c r="C187" s="926">
        <f>'Marketing SoA'!B274</f>
        <v>268</v>
      </c>
      <c r="D187" s="912" t="str">
        <f>'Marketing SoA'!C274</f>
        <v>Flat</v>
      </c>
      <c r="E187" s="912" t="str">
        <f>'Marketing SoA'!D274</f>
        <v>5F F</v>
      </c>
      <c r="F187" s="912">
        <f>'Marketing SoA'!E274</f>
        <v>43.4</v>
      </c>
      <c r="G187" s="950">
        <f>'Marketing SoA'!F274</f>
        <v>467.15325999999999</v>
      </c>
      <c r="H187" s="912" t="str">
        <f>'Marketing SoA'!G274</f>
        <v>1B2P</v>
      </c>
      <c r="I187" s="912">
        <f>'Marketing SoA'!H274</f>
        <v>1</v>
      </c>
      <c r="J187" s="912" t="str">
        <f>'Marketing SoA'!I274</f>
        <v>-</v>
      </c>
      <c r="K187" s="912" t="str">
        <f>'Marketing SoA'!J274</f>
        <v>On-site within MSCP</v>
      </c>
      <c r="L187" s="912" t="str">
        <f>'Marketing SoA'!K274</f>
        <v>Balcony</v>
      </c>
      <c r="M187" s="927" t="str">
        <f>'Marketing SoA'!L274</f>
        <v>-</v>
      </c>
      <c r="O187" s="1191"/>
      <c r="P187" s="1192"/>
      <c r="Q187" s="1192"/>
      <c r="R187" s="1192"/>
      <c r="S187" s="1193"/>
    </row>
    <row r="188" spans="1:19" ht="30" x14ac:dyDescent="0.25">
      <c r="A188" s="1275"/>
      <c r="B188" s="1267"/>
      <c r="C188" s="926">
        <f>'Marketing SoA'!B275</f>
        <v>269</v>
      </c>
      <c r="D188" s="912" t="str">
        <f>'Marketing SoA'!C275</f>
        <v>Flat</v>
      </c>
      <c r="E188" s="912" t="str">
        <f>'Marketing SoA'!D275</f>
        <v>5F F</v>
      </c>
      <c r="F188" s="912">
        <f>'Marketing SoA'!E275</f>
        <v>43.4</v>
      </c>
      <c r="G188" s="950">
        <f>'Marketing SoA'!F275</f>
        <v>467.15325999999999</v>
      </c>
      <c r="H188" s="912" t="str">
        <f>'Marketing SoA'!G275</f>
        <v>1B2P</v>
      </c>
      <c r="I188" s="912">
        <f>'Marketing SoA'!H275</f>
        <v>1</v>
      </c>
      <c r="J188" s="912" t="str">
        <f>'Marketing SoA'!I275</f>
        <v>-</v>
      </c>
      <c r="K188" s="912" t="str">
        <f>'Marketing SoA'!J275</f>
        <v>On-site within MSCP</v>
      </c>
      <c r="L188" s="912" t="str">
        <f>'Marketing SoA'!K275</f>
        <v>Community Amenity</v>
      </c>
      <c r="M188" s="927" t="str">
        <f>'Marketing SoA'!L275</f>
        <v>-</v>
      </c>
      <c r="O188" s="1191"/>
      <c r="P188" s="1192"/>
      <c r="Q188" s="1192"/>
      <c r="R188" s="1192"/>
      <c r="S188" s="1193"/>
    </row>
    <row r="189" spans="1:19" ht="30" x14ac:dyDescent="0.25">
      <c r="A189" s="1275"/>
      <c r="B189" s="1267"/>
      <c r="C189" s="926">
        <f>'Marketing SoA'!B276</f>
        <v>270</v>
      </c>
      <c r="D189" s="912" t="str">
        <f>'Marketing SoA'!C276</f>
        <v>Flat</v>
      </c>
      <c r="E189" s="912" t="str">
        <f>'Marketing SoA'!D276</f>
        <v>5F F</v>
      </c>
      <c r="F189" s="912">
        <f>'Marketing SoA'!E276</f>
        <v>51.2</v>
      </c>
      <c r="G189" s="950">
        <f>'Marketing SoA'!F276</f>
        <v>551.11167999999998</v>
      </c>
      <c r="H189" s="912" t="str">
        <f>'Marketing SoA'!G276</f>
        <v>1B2P</v>
      </c>
      <c r="I189" s="912">
        <f>'Marketing SoA'!H276</f>
        <v>1</v>
      </c>
      <c r="J189" s="912" t="str">
        <f>'Marketing SoA'!I276</f>
        <v>-</v>
      </c>
      <c r="K189" s="912" t="str">
        <f>'Marketing SoA'!J276</f>
        <v>On-site within MSCP</v>
      </c>
      <c r="L189" s="912" t="str">
        <f>'Marketing SoA'!K276</f>
        <v>Balcony</v>
      </c>
      <c r="M189" s="927" t="str">
        <f>'Marketing SoA'!L276</f>
        <v>-</v>
      </c>
      <c r="O189" s="1191"/>
      <c r="P189" s="1192"/>
      <c r="Q189" s="1192"/>
      <c r="R189" s="1192"/>
      <c r="S189" s="1193"/>
    </row>
    <row r="190" spans="1:19" ht="30" x14ac:dyDescent="0.25">
      <c r="A190" s="1275"/>
      <c r="B190" s="1267"/>
      <c r="C190" s="926">
        <f>'Marketing SoA'!B277</f>
        <v>271</v>
      </c>
      <c r="D190" s="912" t="str">
        <f>'Marketing SoA'!C277</f>
        <v>Flat</v>
      </c>
      <c r="E190" s="912" t="str">
        <f>'Marketing SoA'!D277</f>
        <v>5F F</v>
      </c>
      <c r="F190" s="912">
        <f>'Marketing SoA'!E277</f>
        <v>43.4</v>
      </c>
      <c r="G190" s="950">
        <f>'Marketing SoA'!F277</f>
        <v>467.15325999999999</v>
      </c>
      <c r="H190" s="912" t="str">
        <f>'Marketing SoA'!G277</f>
        <v>1B2P</v>
      </c>
      <c r="I190" s="912">
        <f>'Marketing SoA'!H277</f>
        <v>1</v>
      </c>
      <c r="J190" s="912" t="str">
        <f>'Marketing SoA'!I277</f>
        <v>-</v>
      </c>
      <c r="K190" s="912" t="str">
        <f>'Marketing SoA'!J277</f>
        <v>On-site within MSCP</v>
      </c>
      <c r="L190" s="912" t="str">
        <f>'Marketing SoA'!K277</f>
        <v>Community Amenity</v>
      </c>
      <c r="M190" s="927" t="str">
        <f>'Marketing SoA'!L277</f>
        <v>-</v>
      </c>
      <c r="O190" s="1191"/>
      <c r="P190" s="1192"/>
      <c r="Q190" s="1192"/>
      <c r="R190" s="1192"/>
      <c r="S190" s="1193"/>
    </row>
    <row r="191" spans="1:19" ht="30" x14ac:dyDescent="0.25">
      <c r="A191" s="1275"/>
      <c r="B191" s="1267"/>
      <c r="C191" s="926">
        <f>'Marketing SoA'!B278</f>
        <v>272</v>
      </c>
      <c r="D191" s="912" t="str">
        <f>'Marketing SoA'!C278</f>
        <v>Flat</v>
      </c>
      <c r="E191" s="912" t="str">
        <f>'Marketing SoA'!D278</f>
        <v>5F F</v>
      </c>
      <c r="F191" s="912">
        <f>'Marketing SoA'!E278</f>
        <v>43.4</v>
      </c>
      <c r="G191" s="950">
        <f>'Marketing SoA'!F278</f>
        <v>467.15325999999999</v>
      </c>
      <c r="H191" s="912" t="str">
        <f>'Marketing SoA'!G278</f>
        <v>1B2P</v>
      </c>
      <c r="I191" s="912">
        <f>'Marketing SoA'!H278</f>
        <v>1</v>
      </c>
      <c r="J191" s="912" t="str">
        <f>'Marketing SoA'!I278</f>
        <v>-</v>
      </c>
      <c r="K191" s="912" t="str">
        <f>'Marketing SoA'!J278</f>
        <v>On-site within MSCP</v>
      </c>
      <c r="L191" s="912" t="str">
        <f>'Marketing SoA'!K278</f>
        <v>Community Amenity</v>
      </c>
      <c r="M191" s="927" t="str">
        <f>'Marketing SoA'!L278</f>
        <v>-</v>
      </c>
      <c r="O191" s="1191"/>
      <c r="P191" s="1192"/>
      <c r="Q191" s="1192"/>
      <c r="R191" s="1192"/>
      <c r="S191" s="1193"/>
    </row>
    <row r="192" spans="1:19" ht="30" x14ac:dyDescent="0.25">
      <c r="A192" s="1275"/>
      <c r="B192" s="1267"/>
      <c r="C192" s="926">
        <f>'Marketing SoA'!B279</f>
        <v>273</v>
      </c>
      <c r="D192" s="912" t="str">
        <f>'Marketing SoA'!C279</f>
        <v>Maisonette</v>
      </c>
      <c r="E192" s="912" t="str">
        <f>'Marketing SoA'!D279</f>
        <v>GF M</v>
      </c>
      <c r="F192" s="912">
        <f>'Marketing SoA'!E279</f>
        <v>50.8</v>
      </c>
      <c r="G192" s="950">
        <f>'Marketing SoA'!F279</f>
        <v>546.80611999999996</v>
      </c>
      <c r="H192" s="912" t="str">
        <f>'Marketing SoA'!G279</f>
        <v>1B2P</v>
      </c>
      <c r="I192" s="912">
        <f>'Marketing SoA'!H279</f>
        <v>1</v>
      </c>
      <c r="J192" s="912" t="str">
        <f>'Marketing SoA'!I279</f>
        <v>-</v>
      </c>
      <c r="K192" s="912" t="str">
        <f>'Marketing SoA'!J279</f>
        <v>On-site within MSCP</v>
      </c>
      <c r="L192" s="912" t="str">
        <f>'Marketing SoA'!K279</f>
        <v>Frontage Amenity</v>
      </c>
      <c r="M192" s="927">
        <f>'Marketing SoA'!L279</f>
        <v>74</v>
      </c>
      <c r="O192" s="1191"/>
      <c r="P192" s="1192"/>
      <c r="Q192" s="1192"/>
      <c r="R192" s="1192"/>
      <c r="S192" s="1193"/>
    </row>
    <row r="193" spans="1:19" ht="30" x14ac:dyDescent="0.25">
      <c r="A193" s="1275"/>
      <c r="B193" s="1267"/>
      <c r="C193" s="926">
        <f>'Marketing SoA'!B280</f>
        <v>274</v>
      </c>
      <c r="D193" s="912" t="str">
        <f>'Marketing SoA'!C280</f>
        <v>Maisonette</v>
      </c>
      <c r="E193" s="912" t="str">
        <f>'Marketing SoA'!D280</f>
        <v>GF M</v>
      </c>
      <c r="F193" s="912">
        <f>'Marketing SoA'!E280</f>
        <v>39.200000000000003</v>
      </c>
      <c r="G193" s="950">
        <f>'Marketing SoA'!F280</f>
        <v>421.94488000000001</v>
      </c>
      <c r="H193" s="912" t="str">
        <f>'Marketing SoA'!G280</f>
        <v>1B2P</v>
      </c>
      <c r="I193" s="912">
        <f>'Marketing SoA'!H280</f>
        <v>1</v>
      </c>
      <c r="J193" s="912" t="str">
        <f>'Marketing SoA'!I280</f>
        <v>-</v>
      </c>
      <c r="K193" s="912" t="str">
        <f>'Marketing SoA'!J280</f>
        <v>On-site within MSCP</v>
      </c>
      <c r="L193" s="912" t="str">
        <f>'Marketing SoA'!K280</f>
        <v>Community Amenity</v>
      </c>
      <c r="M193" s="927">
        <f>'Marketing SoA'!L280</f>
        <v>51</v>
      </c>
      <c r="O193" s="1191"/>
      <c r="P193" s="1192"/>
      <c r="Q193" s="1192"/>
      <c r="R193" s="1192"/>
      <c r="S193" s="1193"/>
    </row>
    <row r="194" spans="1:19" ht="30" x14ac:dyDescent="0.25">
      <c r="A194" s="1275"/>
      <c r="B194" s="1267"/>
      <c r="C194" s="926">
        <f>'Marketing SoA'!B281</f>
        <v>275</v>
      </c>
      <c r="D194" s="912" t="str">
        <f>'Marketing SoA'!C281</f>
        <v>Duplex Flat</v>
      </c>
      <c r="E194" s="912" t="str">
        <f>'Marketing SoA'!D281</f>
        <v>FF DF</v>
      </c>
      <c r="F194" s="912">
        <f>'Marketing SoA'!E281</f>
        <v>57.8</v>
      </c>
      <c r="G194" s="950">
        <f>'Marketing SoA'!F281</f>
        <v>622.15341999999998</v>
      </c>
      <c r="H194" s="912" t="str">
        <f>'Marketing SoA'!G281</f>
        <v>1B2P</v>
      </c>
      <c r="I194" s="912">
        <f>'Marketing SoA'!H281</f>
        <v>2</v>
      </c>
      <c r="J194" s="912" t="str">
        <f>'Marketing SoA'!I281</f>
        <v>-</v>
      </c>
      <c r="K194" s="912" t="str">
        <f>'Marketing SoA'!J281</f>
        <v>On-site within MSCP</v>
      </c>
      <c r="L194" s="912" t="str">
        <f>'Marketing SoA'!K281</f>
        <v>Balcony</v>
      </c>
      <c r="M194" s="927">
        <f>'Marketing SoA'!L281</f>
        <v>30</v>
      </c>
      <c r="O194" s="1191"/>
      <c r="P194" s="1192"/>
      <c r="Q194" s="1192"/>
      <c r="R194" s="1192"/>
      <c r="S194" s="1193"/>
    </row>
    <row r="195" spans="1:19" ht="30" x14ac:dyDescent="0.25">
      <c r="A195" s="1275"/>
      <c r="B195" s="1267"/>
      <c r="C195" s="926">
        <f>'Marketing SoA'!B282</f>
        <v>276</v>
      </c>
      <c r="D195" s="912" t="str">
        <f>'Marketing SoA'!C282</f>
        <v>Duplex Flat</v>
      </c>
      <c r="E195" s="912" t="str">
        <f>'Marketing SoA'!D282</f>
        <v>FF DF</v>
      </c>
      <c r="F195" s="912">
        <f>'Marketing SoA'!E282</f>
        <v>57.8</v>
      </c>
      <c r="G195" s="950">
        <f>'Marketing SoA'!F282</f>
        <v>622.15341999999998</v>
      </c>
      <c r="H195" s="912" t="str">
        <f>'Marketing SoA'!G282</f>
        <v>1B2P</v>
      </c>
      <c r="I195" s="912">
        <f>'Marketing SoA'!H282</f>
        <v>2</v>
      </c>
      <c r="J195" s="912" t="str">
        <f>'Marketing SoA'!I282</f>
        <v>-</v>
      </c>
      <c r="K195" s="912" t="str">
        <f>'Marketing SoA'!J282</f>
        <v>On-site within MSCP</v>
      </c>
      <c r="L195" s="912" t="str">
        <f>'Marketing SoA'!K282</f>
        <v>Balcony</v>
      </c>
      <c r="M195" s="927">
        <f>'Marketing SoA'!L282</f>
        <v>30</v>
      </c>
      <c r="O195" s="1191"/>
      <c r="P195" s="1192"/>
      <c r="Q195" s="1192"/>
      <c r="R195" s="1192"/>
      <c r="S195" s="1193"/>
    </row>
    <row r="196" spans="1:19" ht="30" x14ac:dyDescent="0.25">
      <c r="A196" s="1275"/>
      <c r="B196" s="1267"/>
      <c r="C196" s="926">
        <f>'Marketing SoA'!B283</f>
        <v>277</v>
      </c>
      <c r="D196" s="912" t="str">
        <f>'Marketing SoA'!C283</f>
        <v>Flat</v>
      </c>
      <c r="E196" s="912" t="str">
        <f>'Marketing SoA'!D283</f>
        <v>FF F</v>
      </c>
      <c r="F196" s="912">
        <f>'Marketing SoA'!E283</f>
        <v>50.1</v>
      </c>
      <c r="G196" s="950">
        <f>'Marketing SoA'!F283</f>
        <v>539.27139</v>
      </c>
      <c r="H196" s="912" t="str">
        <f>'Marketing SoA'!G283</f>
        <v>1B2P</v>
      </c>
      <c r="I196" s="912">
        <f>'Marketing SoA'!H283</f>
        <v>1</v>
      </c>
      <c r="J196" s="912" t="str">
        <f>'Marketing SoA'!I283</f>
        <v>-</v>
      </c>
      <c r="K196" s="912" t="str">
        <f>'Marketing SoA'!J283</f>
        <v>On-site within MSCP</v>
      </c>
      <c r="L196" s="912" t="str">
        <f>'Marketing SoA'!K283</f>
        <v>Community Amenity</v>
      </c>
      <c r="M196" s="927" t="str">
        <f>'Marketing SoA'!L283</f>
        <v>-</v>
      </c>
      <c r="O196" s="1191"/>
      <c r="P196" s="1192"/>
      <c r="Q196" s="1192"/>
      <c r="R196" s="1192"/>
      <c r="S196" s="1193"/>
    </row>
    <row r="197" spans="1:19" ht="30" x14ac:dyDescent="0.25">
      <c r="A197" s="1275"/>
      <c r="B197" s="1267"/>
      <c r="C197" s="926">
        <f>'Marketing SoA'!B284</f>
        <v>278</v>
      </c>
      <c r="D197" s="912" t="str">
        <f>'Marketing SoA'!C284</f>
        <v>Duplex Flat</v>
      </c>
      <c r="E197" s="912" t="str">
        <f>'Marketing SoA'!D284</f>
        <v>SF DF</v>
      </c>
      <c r="F197" s="912">
        <f>'Marketing SoA'!E284</f>
        <v>100.1</v>
      </c>
      <c r="G197" s="950">
        <f>'Marketing SoA'!F284</f>
        <v>1077.4663899999998</v>
      </c>
      <c r="H197" s="912" t="str">
        <f>'Marketing SoA'!G284</f>
        <v>2B4P</v>
      </c>
      <c r="I197" s="912">
        <f>'Marketing SoA'!H284</f>
        <v>2</v>
      </c>
      <c r="J197" s="912" t="str">
        <f>'Marketing SoA'!I284</f>
        <v>-</v>
      </c>
      <c r="K197" s="912" t="str">
        <f>'Marketing SoA'!J284</f>
        <v>On-site within MSCP</v>
      </c>
      <c r="L197" s="912" t="str">
        <f>'Marketing SoA'!K284</f>
        <v>Community Amenity</v>
      </c>
      <c r="M197" s="927" t="str">
        <f>'Marketing SoA'!L284</f>
        <v>-</v>
      </c>
      <c r="O197" s="1191"/>
      <c r="P197" s="1192"/>
      <c r="Q197" s="1192"/>
      <c r="R197" s="1192"/>
      <c r="S197" s="1193"/>
    </row>
    <row r="198" spans="1:19" ht="30" x14ac:dyDescent="0.25">
      <c r="A198" s="1275"/>
      <c r="B198" s="1267"/>
      <c r="C198" s="926">
        <f>'Marketing SoA'!B285</f>
        <v>279</v>
      </c>
      <c r="D198" s="912" t="str">
        <f>'Marketing SoA'!C285</f>
        <v>Duplex Flat</v>
      </c>
      <c r="E198" s="912" t="str">
        <f>'Marketing SoA'!D285</f>
        <v>TF DF</v>
      </c>
      <c r="F198" s="912">
        <f>'Marketing SoA'!E285</f>
        <v>57.8</v>
      </c>
      <c r="G198" s="950">
        <f>'Marketing SoA'!F285</f>
        <v>622.15341999999998</v>
      </c>
      <c r="H198" s="912" t="str">
        <f>'Marketing SoA'!G285</f>
        <v>2B3P</v>
      </c>
      <c r="I198" s="912">
        <f>'Marketing SoA'!H285</f>
        <v>2</v>
      </c>
      <c r="J198" s="912" t="str">
        <f>'Marketing SoA'!I285</f>
        <v>Y</v>
      </c>
      <c r="K198" s="912" t="str">
        <f>'Marketing SoA'!J285</f>
        <v>On-site within MSCP</v>
      </c>
      <c r="L198" s="912" t="str">
        <f>'Marketing SoA'!K285</f>
        <v>Roof Terrace</v>
      </c>
      <c r="M198" s="927">
        <f>'Marketing SoA'!L285</f>
        <v>219</v>
      </c>
      <c r="O198" s="1191"/>
      <c r="P198" s="1192"/>
      <c r="Q198" s="1192"/>
      <c r="R198" s="1192"/>
      <c r="S198" s="1193"/>
    </row>
    <row r="199" spans="1:19" ht="30" x14ac:dyDescent="0.25">
      <c r="A199" s="1275"/>
      <c r="B199" s="1267"/>
      <c r="C199" s="926">
        <f>'Marketing SoA'!B286</f>
        <v>280</v>
      </c>
      <c r="D199" s="912" t="str">
        <f>'Marketing SoA'!C286</f>
        <v>Duplex Flat</v>
      </c>
      <c r="E199" s="912" t="str">
        <f>'Marketing SoA'!D286</f>
        <v>TF DF</v>
      </c>
      <c r="F199" s="912">
        <f>'Marketing SoA'!E286</f>
        <v>57.8</v>
      </c>
      <c r="G199" s="950">
        <f>'Marketing SoA'!F286</f>
        <v>622.15341999999998</v>
      </c>
      <c r="H199" s="912" t="str">
        <f>'Marketing SoA'!G286</f>
        <v>2B3P</v>
      </c>
      <c r="I199" s="912">
        <f>'Marketing SoA'!H286</f>
        <v>2</v>
      </c>
      <c r="J199" s="912" t="str">
        <f>'Marketing SoA'!I286</f>
        <v>Y</v>
      </c>
      <c r="K199" s="912" t="str">
        <f>'Marketing SoA'!J286</f>
        <v>On-site within MSCP</v>
      </c>
      <c r="L199" s="912" t="str">
        <f>'Marketing SoA'!K286</f>
        <v>Roof Terrace</v>
      </c>
      <c r="M199" s="927">
        <f>'Marketing SoA'!L286</f>
        <v>219</v>
      </c>
      <c r="O199" s="1191"/>
      <c r="P199" s="1192"/>
      <c r="Q199" s="1192"/>
      <c r="R199" s="1192"/>
      <c r="S199" s="1193"/>
    </row>
    <row r="200" spans="1:19" ht="30" x14ac:dyDescent="0.25">
      <c r="A200" s="1275"/>
      <c r="B200" s="1267"/>
      <c r="C200" s="926">
        <f>'Marketing SoA'!B287</f>
        <v>281</v>
      </c>
      <c r="D200" s="912" t="str">
        <f>'Marketing SoA'!C287</f>
        <v>Duplex Flat</v>
      </c>
      <c r="E200" s="912" t="str">
        <f>'Marketing SoA'!D287</f>
        <v>FF DF</v>
      </c>
      <c r="F200" s="912">
        <f>'Marketing SoA'!E287</f>
        <v>69.599999999999994</v>
      </c>
      <c r="G200" s="950">
        <f>'Marketing SoA'!F287</f>
        <v>749.16743999999994</v>
      </c>
      <c r="H200" s="912" t="str">
        <f>'Marketing SoA'!G287</f>
        <v>2B3P</v>
      </c>
      <c r="I200" s="912">
        <f>'Marketing SoA'!H287</f>
        <v>2</v>
      </c>
      <c r="J200" s="912" t="str">
        <f>'Marketing SoA'!I287</f>
        <v>-</v>
      </c>
      <c r="K200" s="912" t="str">
        <f>'Marketing SoA'!J287</f>
        <v>On-site within MSCP</v>
      </c>
      <c r="L200" s="912" t="str">
        <f>'Marketing SoA'!K287</f>
        <v>Balcony</v>
      </c>
      <c r="M200" s="927">
        <f>'Marketing SoA'!L287</f>
        <v>89</v>
      </c>
      <c r="O200" s="1191"/>
      <c r="P200" s="1192"/>
      <c r="Q200" s="1192"/>
      <c r="R200" s="1192"/>
      <c r="S200" s="1193"/>
    </row>
    <row r="201" spans="1:19" ht="30" x14ac:dyDescent="0.25">
      <c r="A201" s="1275"/>
      <c r="B201" s="1267"/>
      <c r="C201" s="926">
        <f>'Marketing SoA'!B288</f>
        <v>282</v>
      </c>
      <c r="D201" s="912" t="str">
        <f>'Marketing SoA'!C288</f>
        <v>Duplex Flat</v>
      </c>
      <c r="E201" s="912" t="str">
        <f>'Marketing SoA'!D288</f>
        <v>FF DF</v>
      </c>
      <c r="F201" s="912">
        <f>'Marketing SoA'!E288</f>
        <v>69.599999999999994</v>
      </c>
      <c r="G201" s="950">
        <f>'Marketing SoA'!F288</f>
        <v>749.16743999999994</v>
      </c>
      <c r="H201" s="912" t="str">
        <f>'Marketing SoA'!G288</f>
        <v>2B3P</v>
      </c>
      <c r="I201" s="912">
        <f>'Marketing SoA'!H288</f>
        <v>2</v>
      </c>
      <c r="J201" s="912" t="str">
        <f>'Marketing SoA'!I288</f>
        <v>-</v>
      </c>
      <c r="K201" s="912" t="str">
        <f>'Marketing SoA'!J288</f>
        <v>On-site within MSCP</v>
      </c>
      <c r="L201" s="912" t="str">
        <f>'Marketing SoA'!K288</f>
        <v>Balcony</v>
      </c>
      <c r="M201" s="927">
        <f>'Marketing SoA'!L288</f>
        <v>89</v>
      </c>
      <c r="O201" s="1191"/>
      <c r="P201" s="1192"/>
      <c r="Q201" s="1192"/>
      <c r="R201" s="1192"/>
      <c r="S201" s="1193"/>
    </row>
    <row r="202" spans="1:19" ht="30" x14ac:dyDescent="0.25">
      <c r="A202" s="1275"/>
      <c r="B202" s="1267"/>
      <c r="C202" s="926">
        <f>'Marketing SoA'!B289</f>
        <v>283</v>
      </c>
      <c r="D202" s="912" t="str">
        <f>'Marketing SoA'!C289</f>
        <v>Duplex Flat</v>
      </c>
      <c r="E202" s="912" t="str">
        <f>'Marketing SoA'!D289</f>
        <v>FF DF</v>
      </c>
      <c r="F202" s="912">
        <f>'Marketing SoA'!E289</f>
        <v>69.599999999999994</v>
      </c>
      <c r="G202" s="950">
        <f>'Marketing SoA'!F289</f>
        <v>749.16743999999994</v>
      </c>
      <c r="H202" s="912" t="str">
        <f>'Marketing SoA'!G289</f>
        <v>2B3P</v>
      </c>
      <c r="I202" s="912">
        <f>'Marketing SoA'!H289</f>
        <v>2</v>
      </c>
      <c r="J202" s="912" t="str">
        <f>'Marketing SoA'!I289</f>
        <v>-</v>
      </c>
      <c r="K202" s="912" t="str">
        <f>'Marketing SoA'!J289</f>
        <v>On-site within MSCP</v>
      </c>
      <c r="L202" s="912" t="str">
        <f>'Marketing SoA'!K289</f>
        <v>Balcony</v>
      </c>
      <c r="M202" s="927">
        <f>'Marketing SoA'!L289</f>
        <v>89</v>
      </c>
      <c r="O202" s="1191"/>
      <c r="P202" s="1192"/>
      <c r="Q202" s="1192"/>
      <c r="R202" s="1192"/>
      <c r="S202" s="1193"/>
    </row>
    <row r="203" spans="1:19" ht="30" x14ac:dyDescent="0.25">
      <c r="A203" s="1275"/>
      <c r="B203" s="1267"/>
      <c r="C203" s="926">
        <f>'Marketing SoA'!B290</f>
        <v>284</v>
      </c>
      <c r="D203" s="912" t="str">
        <f>'Marketing SoA'!C290</f>
        <v>Duplex Flat</v>
      </c>
      <c r="E203" s="912" t="str">
        <f>'Marketing SoA'!D290</f>
        <v>FF DF</v>
      </c>
      <c r="F203" s="912">
        <f>'Marketing SoA'!E290</f>
        <v>69.599999999999994</v>
      </c>
      <c r="G203" s="950">
        <f>'Marketing SoA'!F290</f>
        <v>749.16743999999994</v>
      </c>
      <c r="H203" s="912" t="str">
        <f>'Marketing SoA'!G290</f>
        <v>2B3P</v>
      </c>
      <c r="I203" s="912">
        <f>'Marketing SoA'!H290</f>
        <v>2</v>
      </c>
      <c r="J203" s="912" t="str">
        <f>'Marketing SoA'!I290</f>
        <v>-</v>
      </c>
      <c r="K203" s="912" t="str">
        <f>'Marketing SoA'!J290</f>
        <v>On-site within MSCP</v>
      </c>
      <c r="L203" s="912" t="str">
        <f>'Marketing SoA'!K290</f>
        <v>Balcony</v>
      </c>
      <c r="M203" s="927">
        <f>'Marketing SoA'!L290</f>
        <v>89</v>
      </c>
      <c r="O203" s="1191"/>
      <c r="P203" s="1192"/>
      <c r="Q203" s="1192"/>
      <c r="R203" s="1192"/>
      <c r="S203" s="1193"/>
    </row>
    <row r="204" spans="1:19" ht="30" x14ac:dyDescent="0.25">
      <c r="A204" s="1275"/>
      <c r="B204" s="1267"/>
      <c r="C204" s="926">
        <f>'Marketing SoA'!B291</f>
        <v>285</v>
      </c>
      <c r="D204" s="912" t="str">
        <f>'Marketing SoA'!C291</f>
        <v>Duplex Flat</v>
      </c>
      <c r="E204" s="912" t="str">
        <f>'Marketing SoA'!D291</f>
        <v>TF DF</v>
      </c>
      <c r="F204" s="912">
        <f>'Marketing SoA'!E291</f>
        <v>87.3</v>
      </c>
      <c r="G204" s="950">
        <f>'Marketing SoA'!F291</f>
        <v>939.68846999999994</v>
      </c>
      <c r="H204" s="912" t="str">
        <f>'Marketing SoA'!G291</f>
        <v>2B3P</v>
      </c>
      <c r="I204" s="912">
        <f>'Marketing SoA'!H291</f>
        <v>2</v>
      </c>
      <c r="J204" s="912" t="str">
        <f>'Marketing SoA'!I291</f>
        <v>-</v>
      </c>
      <c r="K204" s="912" t="str">
        <f>'Marketing SoA'!J291</f>
        <v>On-site within MSCP</v>
      </c>
      <c r="L204" s="912" t="str">
        <f>'Marketing SoA'!K291</f>
        <v>Balcony</v>
      </c>
      <c r="M204" s="927" t="str">
        <f>'Marketing SoA'!L291</f>
        <v>-</v>
      </c>
      <c r="O204" s="1191"/>
      <c r="P204" s="1192"/>
      <c r="Q204" s="1192"/>
      <c r="R204" s="1192"/>
      <c r="S204" s="1193"/>
    </row>
    <row r="205" spans="1:19" ht="30" x14ac:dyDescent="0.25">
      <c r="A205" s="1275"/>
      <c r="B205" s="1267"/>
      <c r="C205" s="926">
        <f>'Marketing SoA'!B292</f>
        <v>286</v>
      </c>
      <c r="D205" s="912" t="str">
        <f>'Marketing SoA'!C292</f>
        <v>Duplex Flat</v>
      </c>
      <c r="E205" s="912" t="str">
        <f>'Marketing SoA'!D292</f>
        <v>TF DF</v>
      </c>
      <c r="F205" s="912">
        <f>'Marketing SoA'!E292</f>
        <v>87.3</v>
      </c>
      <c r="G205" s="950">
        <f>'Marketing SoA'!F292</f>
        <v>939.68846999999994</v>
      </c>
      <c r="H205" s="912" t="str">
        <f>'Marketing SoA'!G292</f>
        <v>2B3P</v>
      </c>
      <c r="I205" s="912">
        <f>'Marketing SoA'!H292</f>
        <v>2</v>
      </c>
      <c r="J205" s="912" t="str">
        <f>'Marketing SoA'!I292</f>
        <v>-</v>
      </c>
      <c r="K205" s="912" t="str">
        <f>'Marketing SoA'!J292</f>
        <v>On-site within MSCP</v>
      </c>
      <c r="L205" s="912" t="str">
        <f>'Marketing SoA'!K292</f>
        <v>Balcony</v>
      </c>
      <c r="M205" s="927" t="str">
        <f>'Marketing SoA'!L292</f>
        <v>-</v>
      </c>
      <c r="O205" s="1191"/>
      <c r="P205" s="1192"/>
      <c r="Q205" s="1192"/>
      <c r="R205" s="1192"/>
      <c r="S205" s="1193"/>
    </row>
    <row r="206" spans="1:19" ht="30" x14ac:dyDescent="0.25">
      <c r="A206" s="1275"/>
      <c r="B206" s="1267"/>
      <c r="C206" s="926">
        <f>'Marketing SoA'!B293</f>
        <v>287</v>
      </c>
      <c r="D206" s="912" t="str">
        <f>'Marketing SoA'!C293</f>
        <v>Duplex Flat</v>
      </c>
      <c r="E206" s="912" t="str">
        <f>'Marketing SoA'!D293</f>
        <v>TF DF</v>
      </c>
      <c r="F206" s="912">
        <f>'Marketing SoA'!E293</f>
        <v>69.599999999999994</v>
      </c>
      <c r="G206" s="950">
        <f>'Marketing SoA'!F293</f>
        <v>749.16743999999994</v>
      </c>
      <c r="H206" s="912" t="str">
        <f>'Marketing SoA'!G293</f>
        <v>2B3P</v>
      </c>
      <c r="I206" s="912">
        <f>'Marketing SoA'!H293</f>
        <v>2</v>
      </c>
      <c r="J206" s="912" t="str">
        <f>'Marketing SoA'!I293</f>
        <v>-</v>
      </c>
      <c r="K206" s="912" t="str">
        <f>'Marketing SoA'!J293</f>
        <v>On-site within MSCP</v>
      </c>
      <c r="L206" s="912" t="str">
        <f>'Marketing SoA'!K293</f>
        <v>Balcony</v>
      </c>
      <c r="M206" s="927">
        <f>'Marketing SoA'!L293</f>
        <v>89</v>
      </c>
      <c r="O206" s="1191"/>
      <c r="P206" s="1192"/>
      <c r="Q206" s="1192"/>
      <c r="R206" s="1192"/>
      <c r="S206" s="1193"/>
    </row>
    <row r="207" spans="1:19" ht="30" x14ac:dyDescent="0.25">
      <c r="A207" s="1275"/>
      <c r="B207" s="1267"/>
      <c r="C207" s="926">
        <f>'Marketing SoA'!B294</f>
        <v>288</v>
      </c>
      <c r="D207" s="912" t="str">
        <f>'Marketing SoA'!C294</f>
        <v>Duplex Flat</v>
      </c>
      <c r="E207" s="912" t="str">
        <f>'Marketing SoA'!D294</f>
        <v>TF DF</v>
      </c>
      <c r="F207" s="912">
        <f>'Marketing SoA'!E294</f>
        <v>69.599999999999994</v>
      </c>
      <c r="G207" s="950">
        <f>'Marketing SoA'!F294</f>
        <v>749.16743999999994</v>
      </c>
      <c r="H207" s="912" t="str">
        <f>'Marketing SoA'!G294</f>
        <v>2B3P</v>
      </c>
      <c r="I207" s="912">
        <f>'Marketing SoA'!H294</f>
        <v>2</v>
      </c>
      <c r="J207" s="912" t="str">
        <f>'Marketing SoA'!I294</f>
        <v>-</v>
      </c>
      <c r="K207" s="912" t="str">
        <f>'Marketing SoA'!J294</f>
        <v>On-site within MSCP</v>
      </c>
      <c r="L207" s="912" t="str">
        <f>'Marketing SoA'!K294</f>
        <v>Balcony</v>
      </c>
      <c r="M207" s="927">
        <f>'Marketing SoA'!L294</f>
        <v>89</v>
      </c>
      <c r="O207" s="1191"/>
      <c r="P207" s="1192"/>
      <c r="Q207" s="1192"/>
      <c r="R207" s="1192"/>
      <c r="S207" s="1193"/>
    </row>
    <row r="208" spans="1:19" ht="30" x14ac:dyDescent="0.25">
      <c r="A208" s="1275"/>
      <c r="B208" s="1267"/>
      <c r="C208" s="926">
        <f>'Marketing SoA'!B295</f>
        <v>289</v>
      </c>
      <c r="D208" s="912" t="str">
        <f>'Marketing SoA'!C295</f>
        <v>Flat</v>
      </c>
      <c r="E208" s="912" t="str">
        <f>'Marketing SoA'!D295</f>
        <v>FF F</v>
      </c>
      <c r="F208" s="912">
        <f>'Marketing SoA'!E295</f>
        <v>59.4</v>
      </c>
      <c r="G208" s="950">
        <f>'Marketing SoA'!F295</f>
        <v>639.37565999999993</v>
      </c>
      <c r="H208" s="912" t="str">
        <f>'Marketing SoA'!G295</f>
        <v>1B2P</v>
      </c>
      <c r="I208" s="912">
        <f>'Marketing SoA'!H295</f>
        <v>1</v>
      </c>
      <c r="J208" s="912" t="str">
        <f>'Marketing SoA'!I295</f>
        <v>-</v>
      </c>
      <c r="K208" s="912" t="str">
        <f>'Marketing SoA'!J295</f>
        <v>On-site within MSCP</v>
      </c>
      <c r="L208" s="912" t="str">
        <f>'Marketing SoA'!K295</f>
        <v>Community Amenity</v>
      </c>
      <c r="M208" s="927" t="str">
        <f>'Marketing SoA'!L295</f>
        <v>-</v>
      </c>
      <c r="O208" s="1191"/>
      <c r="P208" s="1192"/>
      <c r="Q208" s="1192"/>
      <c r="R208" s="1192"/>
      <c r="S208" s="1193"/>
    </row>
    <row r="209" spans="1:19" ht="30" x14ac:dyDescent="0.25">
      <c r="A209" s="1275"/>
      <c r="B209" s="1267"/>
      <c r="C209" s="926">
        <f>'Marketing SoA'!B296</f>
        <v>290</v>
      </c>
      <c r="D209" s="912" t="str">
        <f>'Marketing SoA'!C296</f>
        <v>Duplex Flat</v>
      </c>
      <c r="E209" s="912" t="str">
        <f>'Marketing SoA'!D296</f>
        <v>FF DF</v>
      </c>
      <c r="F209" s="912">
        <f>'Marketing SoA'!E296</f>
        <v>66.5</v>
      </c>
      <c r="G209" s="950">
        <f>'Marketing SoA'!F296</f>
        <v>715.79935</v>
      </c>
      <c r="H209" s="912" t="str">
        <f>'Marketing SoA'!G296</f>
        <v>2B3P</v>
      </c>
      <c r="I209" s="912">
        <f>'Marketing SoA'!H296</f>
        <v>2</v>
      </c>
      <c r="J209" s="912" t="str">
        <f>'Marketing SoA'!I296</f>
        <v>-</v>
      </c>
      <c r="K209" s="912" t="str">
        <f>'Marketing SoA'!J296</f>
        <v>On-site within MSCP</v>
      </c>
      <c r="L209" s="912" t="str">
        <f>'Marketing SoA'!K296</f>
        <v>Balcony</v>
      </c>
      <c r="M209" s="927">
        <f>'Marketing SoA'!L296</f>
        <v>108</v>
      </c>
      <c r="O209" s="1191"/>
      <c r="P209" s="1192"/>
      <c r="Q209" s="1192"/>
      <c r="R209" s="1192"/>
      <c r="S209" s="1193"/>
    </row>
    <row r="210" spans="1:19" ht="30" x14ac:dyDescent="0.25">
      <c r="A210" s="1275"/>
      <c r="B210" s="1267"/>
      <c r="C210" s="926">
        <f>'Marketing SoA'!B297</f>
        <v>291</v>
      </c>
      <c r="D210" s="912" t="str">
        <f>'Marketing SoA'!C297</f>
        <v>Duplex Flat</v>
      </c>
      <c r="E210" s="912" t="str">
        <f>'Marketing SoA'!D297</f>
        <v>FF DF</v>
      </c>
      <c r="F210" s="912">
        <f>'Marketing SoA'!E297</f>
        <v>69.599999999999994</v>
      </c>
      <c r="G210" s="950">
        <f>'Marketing SoA'!F297</f>
        <v>749.16743999999994</v>
      </c>
      <c r="H210" s="912" t="str">
        <f>'Marketing SoA'!G297</f>
        <v>2B3P</v>
      </c>
      <c r="I210" s="912">
        <f>'Marketing SoA'!H297</f>
        <v>2</v>
      </c>
      <c r="J210" s="912" t="str">
        <f>'Marketing SoA'!I297</f>
        <v>-</v>
      </c>
      <c r="K210" s="912" t="str">
        <f>'Marketing SoA'!J297</f>
        <v>On-site within MSCP</v>
      </c>
      <c r="L210" s="912" t="str">
        <f>'Marketing SoA'!K297</f>
        <v>Balcony</v>
      </c>
      <c r="M210" s="927">
        <f>'Marketing SoA'!L297</f>
        <v>108</v>
      </c>
      <c r="O210" s="1191"/>
      <c r="P210" s="1192"/>
      <c r="Q210" s="1192"/>
      <c r="R210" s="1192"/>
      <c r="S210" s="1193"/>
    </row>
    <row r="211" spans="1:19" ht="30" x14ac:dyDescent="0.25">
      <c r="A211" s="1275"/>
      <c r="B211" s="1267"/>
      <c r="C211" s="926">
        <f>'Marketing SoA'!B298</f>
        <v>292</v>
      </c>
      <c r="D211" s="912" t="str">
        <f>'Marketing SoA'!C298</f>
        <v>Flat</v>
      </c>
      <c r="E211" s="912" t="str">
        <f>'Marketing SoA'!D298</f>
        <v>SF F</v>
      </c>
      <c r="F211" s="912">
        <f>'Marketing SoA'!E298</f>
        <v>59.4</v>
      </c>
      <c r="G211" s="950">
        <f>'Marketing SoA'!F298</f>
        <v>639.37565999999993</v>
      </c>
      <c r="H211" s="912" t="str">
        <f>'Marketing SoA'!G298</f>
        <v>1B2P</v>
      </c>
      <c r="I211" s="912">
        <f>'Marketing SoA'!H298</f>
        <v>1</v>
      </c>
      <c r="J211" s="912" t="str">
        <f>'Marketing SoA'!I298</f>
        <v>-</v>
      </c>
      <c r="K211" s="912" t="str">
        <f>'Marketing SoA'!J298</f>
        <v>On-site within MSCP</v>
      </c>
      <c r="L211" s="912" t="str">
        <f>'Marketing SoA'!K298</f>
        <v>Community Amenity</v>
      </c>
      <c r="M211" s="927" t="str">
        <f>'Marketing SoA'!L298</f>
        <v>-</v>
      </c>
      <c r="O211" s="1191"/>
      <c r="P211" s="1192"/>
      <c r="Q211" s="1192"/>
      <c r="R211" s="1192"/>
      <c r="S211" s="1193"/>
    </row>
    <row r="212" spans="1:19" ht="30" x14ac:dyDescent="0.25">
      <c r="A212" s="1275"/>
      <c r="B212" s="1267"/>
      <c r="C212" s="926">
        <f>'Marketing SoA'!B299</f>
        <v>293</v>
      </c>
      <c r="D212" s="912" t="str">
        <f>'Marketing SoA'!C299</f>
        <v>Flat</v>
      </c>
      <c r="E212" s="912" t="str">
        <f>'Marketing SoA'!D299</f>
        <v>TF F</v>
      </c>
      <c r="F212" s="912">
        <f>'Marketing SoA'!E299</f>
        <v>59.4</v>
      </c>
      <c r="G212" s="950">
        <f>'Marketing SoA'!F299</f>
        <v>639.37565999999993</v>
      </c>
      <c r="H212" s="912" t="str">
        <f>'Marketing SoA'!G299</f>
        <v>1B2P</v>
      </c>
      <c r="I212" s="912">
        <f>'Marketing SoA'!H299</f>
        <v>1</v>
      </c>
      <c r="J212" s="912" t="str">
        <f>'Marketing SoA'!I299</f>
        <v>-</v>
      </c>
      <c r="K212" s="912" t="str">
        <f>'Marketing SoA'!J299</f>
        <v>On-site within MSCP</v>
      </c>
      <c r="L212" s="912" t="str">
        <f>'Marketing SoA'!K299</f>
        <v>Community Amenity</v>
      </c>
      <c r="M212" s="927" t="str">
        <f>'Marketing SoA'!L299</f>
        <v>-</v>
      </c>
      <c r="O212" s="1191"/>
      <c r="P212" s="1192"/>
      <c r="Q212" s="1192"/>
      <c r="R212" s="1192"/>
      <c r="S212" s="1193"/>
    </row>
    <row r="213" spans="1:19" ht="30" x14ac:dyDescent="0.25">
      <c r="A213" s="1275"/>
      <c r="B213" s="1267"/>
      <c r="C213" s="926">
        <f>'Marketing SoA'!B300</f>
        <v>294</v>
      </c>
      <c r="D213" s="912" t="str">
        <f>'Marketing SoA'!C300</f>
        <v>Duplex Flat</v>
      </c>
      <c r="E213" s="912" t="str">
        <f>'Marketing SoA'!D300</f>
        <v>TF F</v>
      </c>
      <c r="F213" s="912">
        <f>'Marketing SoA'!E300</f>
        <v>66.5</v>
      </c>
      <c r="G213" s="950">
        <f>'Marketing SoA'!F300</f>
        <v>715.79935</v>
      </c>
      <c r="H213" s="912" t="str">
        <f>'Marketing SoA'!G300</f>
        <v>2B3P</v>
      </c>
      <c r="I213" s="912">
        <f>'Marketing SoA'!H300</f>
        <v>2</v>
      </c>
      <c r="J213" s="912" t="str">
        <f>'Marketing SoA'!I300</f>
        <v>-</v>
      </c>
      <c r="K213" s="912" t="str">
        <f>'Marketing SoA'!J300</f>
        <v>On-site within MSCP</v>
      </c>
      <c r="L213" s="912" t="str">
        <f>'Marketing SoA'!K300</f>
        <v>Balcony</v>
      </c>
      <c r="M213" s="927">
        <f>'Marketing SoA'!L300</f>
        <v>89</v>
      </c>
      <c r="O213" s="1191"/>
      <c r="P213" s="1192"/>
      <c r="Q213" s="1192"/>
      <c r="R213" s="1192"/>
      <c r="S213" s="1193"/>
    </row>
    <row r="214" spans="1:19" ht="30" x14ac:dyDescent="0.25">
      <c r="A214" s="1275"/>
      <c r="B214" s="1267"/>
      <c r="C214" s="926">
        <f>'Marketing SoA'!B301</f>
        <v>295</v>
      </c>
      <c r="D214" s="912" t="str">
        <f>'Marketing SoA'!C301</f>
        <v>Duplex Flat</v>
      </c>
      <c r="E214" s="912" t="str">
        <f>'Marketing SoA'!D301</f>
        <v>TF F</v>
      </c>
      <c r="F214" s="912">
        <f>'Marketing SoA'!E301</f>
        <v>69.599999999999994</v>
      </c>
      <c r="G214" s="950">
        <f>'Marketing SoA'!F301</f>
        <v>749.16743999999994</v>
      </c>
      <c r="H214" s="912" t="str">
        <f>'Marketing SoA'!G301</f>
        <v>2B3P</v>
      </c>
      <c r="I214" s="912">
        <f>'Marketing SoA'!H301</f>
        <v>2</v>
      </c>
      <c r="J214" s="912" t="str">
        <f>'Marketing SoA'!I301</f>
        <v>-</v>
      </c>
      <c r="K214" s="912" t="str">
        <f>'Marketing SoA'!J301</f>
        <v>On-site within MSCP</v>
      </c>
      <c r="L214" s="912" t="str">
        <f>'Marketing SoA'!K301</f>
        <v>Balcony</v>
      </c>
      <c r="M214" s="927">
        <f>'Marketing SoA'!L301</f>
        <v>89</v>
      </c>
      <c r="O214" s="1191"/>
      <c r="P214" s="1192"/>
      <c r="Q214" s="1192"/>
      <c r="R214" s="1192"/>
      <c r="S214" s="1193"/>
    </row>
    <row r="215" spans="1:19" ht="30" x14ac:dyDescent="0.25">
      <c r="A215" s="1275"/>
      <c r="B215" s="1267"/>
      <c r="C215" s="926">
        <f>'Marketing SoA'!B302</f>
        <v>296</v>
      </c>
      <c r="D215" s="912" t="str">
        <f>'Marketing SoA'!C302</f>
        <v>Flat</v>
      </c>
      <c r="E215" s="912" t="str">
        <f>'Marketing SoA'!D302</f>
        <v>4F F</v>
      </c>
      <c r="F215" s="912">
        <f>'Marketing SoA'!E302</f>
        <v>59.4</v>
      </c>
      <c r="G215" s="950">
        <f>'Marketing SoA'!F302</f>
        <v>639.37565999999993</v>
      </c>
      <c r="H215" s="912" t="str">
        <f>'Marketing SoA'!G302</f>
        <v>1B2P</v>
      </c>
      <c r="I215" s="912">
        <f>'Marketing SoA'!H302</f>
        <v>1</v>
      </c>
      <c r="J215" s="912" t="str">
        <f>'Marketing SoA'!I302</f>
        <v>-</v>
      </c>
      <c r="K215" s="912" t="str">
        <f>'Marketing SoA'!J302</f>
        <v>On-site within MSCP</v>
      </c>
      <c r="L215" s="912" t="str">
        <f>'Marketing SoA'!K302</f>
        <v>Community Amenity</v>
      </c>
      <c r="M215" s="927" t="str">
        <f>'Marketing SoA'!L302</f>
        <v>-</v>
      </c>
      <c r="O215" s="1191"/>
      <c r="P215" s="1192"/>
      <c r="Q215" s="1192"/>
      <c r="R215" s="1192"/>
      <c r="S215" s="1193"/>
    </row>
    <row r="216" spans="1:19" ht="30" x14ac:dyDescent="0.25">
      <c r="A216" s="1275"/>
      <c r="B216" s="1268"/>
      <c r="C216" s="926">
        <f>'Marketing SoA'!B303</f>
        <v>297</v>
      </c>
      <c r="D216" s="912" t="str">
        <f>'Marketing SoA'!C303</f>
        <v>Maisonette</v>
      </c>
      <c r="E216" s="912" t="str">
        <f>'Marketing SoA'!D303</f>
        <v>GF F</v>
      </c>
      <c r="F216" s="912">
        <f>'Marketing SoA'!E303</f>
        <v>59.4</v>
      </c>
      <c r="G216" s="950">
        <f>'Marketing SoA'!F303</f>
        <v>639.37565999999993</v>
      </c>
      <c r="H216" s="912" t="str">
        <f>'Marketing SoA'!G303</f>
        <v>1B2P</v>
      </c>
      <c r="I216" s="912">
        <f>'Marketing SoA'!H303</f>
        <v>1</v>
      </c>
      <c r="J216" s="912" t="str">
        <f>'Marketing SoA'!I303</f>
        <v>-</v>
      </c>
      <c r="K216" s="912" t="str">
        <f>'Marketing SoA'!J303</f>
        <v>On-site within MSCP</v>
      </c>
      <c r="L216" s="912" t="str">
        <f>'Marketing SoA'!K303</f>
        <v>Community Amenity</v>
      </c>
      <c r="M216" s="927" t="str">
        <f>'Marketing SoA'!L303</f>
        <v>-</v>
      </c>
      <c r="O216" s="1191"/>
      <c r="P216" s="1192"/>
      <c r="Q216" s="1192"/>
      <c r="R216" s="1192"/>
      <c r="S216" s="1193"/>
    </row>
    <row r="217" spans="1:19" ht="30.75" thickBot="1" x14ac:dyDescent="0.3">
      <c r="A217" s="1275"/>
      <c r="B217" s="1250" t="s">
        <v>340</v>
      </c>
      <c r="C217" s="928">
        <f>'Marketing SoA'!B304</f>
        <v>298</v>
      </c>
      <c r="D217" s="929" t="str">
        <f>'Marketing SoA'!C304</f>
        <v>Maisonette</v>
      </c>
      <c r="E217" s="929" t="str">
        <f>'Marketing SoA'!D304</f>
        <v>GF M</v>
      </c>
      <c r="F217" s="929">
        <f>'Marketing SoA'!E304</f>
        <v>40.1</v>
      </c>
      <c r="G217" s="951">
        <f>'Marketing SoA'!F304</f>
        <v>431.63238999999999</v>
      </c>
      <c r="H217" s="929" t="str">
        <f>'Marketing SoA'!G304</f>
        <v>1B2P</v>
      </c>
      <c r="I217" s="929">
        <f>'Marketing SoA'!H304</f>
        <v>1</v>
      </c>
      <c r="J217" s="929" t="str">
        <f>'Marketing SoA'!I304</f>
        <v>-</v>
      </c>
      <c r="K217" s="929" t="str">
        <f>'Marketing SoA'!J304</f>
        <v>On-site within MSCP</v>
      </c>
      <c r="L217" s="929" t="str">
        <f>'Marketing SoA'!K304</f>
        <v>Private Front Garden</v>
      </c>
      <c r="M217" s="930">
        <f>'Marketing SoA'!L304</f>
        <v>119</v>
      </c>
      <c r="O217" s="1191"/>
      <c r="P217" s="1192"/>
      <c r="Q217" s="1192"/>
      <c r="R217" s="1192"/>
      <c r="S217" s="1193"/>
    </row>
    <row r="218" spans="1:19" ht="45.75" thickTop="1" x14ac:dyDescent="0.25">
      <c r="A218" s="1275"/>
      <c r="B218" s="1251"/>
      <c r="C218" s="912">
        <f>'Marketing SoA'!B305</f>
        <v>299</v>
      </c>
      <c r="D218" s="912" t="str">
        <f>'Marketing SoA'!C305</f>
        <v>House</v>
      </c>
      <c r="E218" s="912" t="str">
        <f>'Marketing SoA'!D305</f>
        <v>EoT House</v>
      </c>
      <c r="F218" s="912">
        <f>'Marketing SoA'!E305</f>
        <v>103.4</v>
      </c>
      <c r="G218" s="950">
        <f>'Marketing SoA'!F305</f>
        <v>1112.9872600000001</v>
      </c>
      <c r="H218" s="912" t="str">
        <f>'Marketing SoA'!G305</f>
        <v>3B5P</v>
      </c>
      <c r="I218" s="912">
        <f>'Marketing SoA'!H305</f>
        <v>3</v>
      </c>
      <c r="J218" s="912" t="str">
        <f>'Marketing SoA'!I305</f>
        <v>-</v>
      </c>
      <c r="K218" s="912" t="str">
        <f>'Marketing SoA'!J305</f>
        <v>On-plot Allocated Parking</v>
      </c>
      <c r="L218" s="912" t="str">
        <f>'Marketing SoA'!K305</f>
        <v>Roof Terrace</v>
      </c>
      <c r="M218" s="913">
        <f>'Marketing SoA'!L305</f>
        <v>468</v>
      </c>
      <c r="O218" s="1191"/>
      <c r="P218" s="1192"/>
      <c r="Q218" s="1192"/>
      <c r="R218" s="1192"/>
      <c r="S218" s="1193"/>
    </row>
    <row r="219" spans="1:19" ht="45" x14ac:dyDescent="0.25">
      <c r="A219" s="1275"/>
      <c r="B219" s="1251"/>
      <c r="C219" s="912">
        <f>'Marketing SoA'!B306</f>
        <v>300</v>
      </c>
      <c r="D219" s="912" t="str">
        <f>'Marketing SoA'!C306</f>
        <v>House</v>
      </c>
      <c r="E219" s="912" t="str">
        <f>'Marketing SoA'!D306</f>
        <v>MT House</v>
      </c>
      <c r="F219" s="912">
        <f>'Marketing SoA'!E306</f>
        <v>103.4</v>
      </c>
      <c r="G219" s="950">
        <f>'Marketing SoA'!F306</f>
        <v>1112.9872600000001</v>
      </c>
      <c r="H219" s="912" t="str">
        <f>'Marketing SoA'!G306</f>
        <v>3B5P</v>
      </c>
      <c r="I219" s="912">
        <f>'Marketing SoA'!H306</f>
        <v>3</v>
      </c>
      <c r="J219" s="912" t="str">
        <f>'Marketing SoA'!I306</f>
        <v>-</v>
      </c>
      <c r="K219" s="912" t="str">
        <f>'Marketing SoA'!J306</f>
        <v>On-plot Allocated Parking</v>
      </c>
      <c r="L219" s="912" t="str">
        <f>'Marketing SoA'!K306</f>
        <v>Roof Terrace</v>
      </c>
      <c r="M219" s="913">
        <f>'Marketing SoA'!L306</f>
        <v>468</v>
      </c>
      <c r="O219" s="1191"/>
      <c r="P219" s="1192"/>
      <c r="Q219" s="1192"/>
      <c r="R219" s="1192"/>
      <c r="S219" s="1193"/>
    </row>
    <row r="220" spans="1:19" ht="45" x14ac:dyDescent="0.25">
      <c r="A220" s="1275"/>
      <c r="B220" s="1251"/>
      <c r="C220" s="912">
        <f>'Marketing SoA'!B307</f>
        <v>301</v>
      </c>
      <c r="D220" s="912" t="str">
        <f>'Marketing SoA'!C307</f>
        <v>House</v>
      </c>
      <c r="E220" s="912" t="str">
        <f>'Marketing SoA'!D307</f>
        <v>EoT House</v>
      </c>
      <c r="F220" s="912">
        <f>'Marketing SoA'!E307</f>
        <v>103.4</v>
      </c>
      <c r="G220" s="950">
        <f>'Marketing SoA'!F307</f>
        <v>1112.9872600000001</v>
      </c>
      <c r="H220" s="912" t="str">
        <f>'Marketing SoA'!G307</f>
        <v>3B5P</v>
      </c>
      <c r="I220" s="912">
        <f>'Marketing SoA'!H307</f>
        <v>3</v>
      </c>
      <c r="J220" s="912" t="str">
        <f>'Marketing SoA'!I307</f>
        <v>-</v>
      </c>
      <c r="K220" s="912" t="str">
        <f>'Marketing SoA'!J307</f>
        <v>On-plot Allocated Parking</v>
      </c>
      <c r="L220" s="912" t="str">
        <f>'Marketing SoA'!K307</f>
        <v>Roof Terrace</v>
      </c>
      <c r="M220" s="913">
        <f>'Marketing SoA'!L307</f>
        <v>468</v>
      </c>
      <c r="O220" s="1191"/>
      <c r="P220" s="1192"/>
      <c r="Q220" s="1192"/>
      <c r="R220" s="1192"/>
      <c r="S220" s="1193"/>
    </row>
    <row r="221" spans="1:19" ht="30" x14ac:dyDescent="0.25">
      <c r="A221" s="1275"/>
      <c r="B221" s="1251"/>
      <c r="C221" s="912">
        <f>'Marketing SoA'!B308</f>
        <v>302</v>
      </c>
      <c r="D221" s="912" t="str">
        <f>'Marketing SoA'!C308</f>
        <v>Flat</v>
      </c>
      <c r="E221" s="912" t="str">
        <f>'Marketing SoA'!D308</f>
        <v>FF F</v>
      </c>
      <c r="F221" s="912">
        <f>'Marketing SoA'!E308</f>
        <v>84.7</v>
      </c>
      <c r="G221" s="950">
        <f>'Marketing SoA'!F308</f>
        <v>911.70232999999996</v>
      </c>
      <c r="H221" s="912" t="str">
        <f>'Marketing SoA'!G308</f>
        <v>3B5P</v>
      </c>
      <c r="I221" s="912">
        <f>'Marketing SoA'!H308</f>
        <v>1</v>
      </c>
      <c r="J221" s="912" t="str">
        <f>'Marketing SoA'!I308</f>
        <v>-</v>
      </c>
      <c r="K221" s="912" t="str">
        <f>'Marketing SoA'!J308</f>
        <v>On-site within MSCP</v>
      </c>
      <c r="L221" s="912" t="str">
        <f>'Marketing SoA'!K308</f>
        <v>Balcony</v>
      </c>
      <c r="M221" s="913">
        <f>'Marketing SoA'!L308</f>
        <v>138</v>
      </c>
      <c r="O221" s="1191"/>
      <c r="P221" s="1192"/>
      <c r="Q221" s="1192"/>
      <c r="R221" s="1192"/>
      <c r="S221" s="1193"/>
    </row>
    <row r="222" spans="1:19" ht="30" x14ac:dyDescent="0.25">
      <c r="A222" s="1275"/>
      <c r="B222" s="1251"/>
      <c r="C222" s="912">
        <f>'Marketing SoA'!B309</f>
        <v>303</v>
      </c>
      <c r="D222" s="912" t="str">
        <f>'Marketing SoA'!C309</f>
        <v>Flat</v>
      </c>
      <c r="E222" s="912" t="str">
        <f>'Marketing SoA'!D309</f>
        <v>SF F</v>
      </c>
      <c r="F222" s="912">
        <f>'Marketing SoA'!E309</f>
        <v>84.7</v>
      </c>
      <c r="G222" s="950">
        <f>'Marketing SoA'!F309</f>
        <v>911.70232999999996</v>
      </c>
      <c r="H222" s="912" t="str">
        <f>'Marketing SoA'!G309</f>
        <v>3B5P</v>
      </c>
      <c r="I222" s="912">
        <f>'Marketing SoA'!H309</f>
        <v>1</v>
      </c>
      <c r="J222" s="912" t="str">
        <f>'Marketing SoA'!I309</f>
        <v>-</v>
      </c>
      <c r="K222" s="912" t="str">
        <f>'Marketing SoA'!J309</f>
        <v>On-site within MSCP</v>
      </c>
      <c r="L222" s="912" t="str">
        <f>'Marketing SoA'!K309</f>
        <v>Shared Roof Terrace</v>
      </c>
      <c r="M222" s="913" t="str">
        <f>'Marketing SoA'!L309</f>
        <v>-</v>
      </c>
      <c r="O222" s="1191"/>
      <c r="P222" s="1192"/>
      <c r="Q222" s="1192"/>
      <c r="R222" s="1192"/>
      <c r="S222" s="1193"/>
    </row>
    <row r="223" spans="1:19" ht="30" x14ac:dyDescent="0.25">
      <c r="A223" s="1275"/>
      <c r="B223" s="1251"/>
      <c r="C223" s="912">
        <f>'Marketing SoA'!B310</f>
        <v>304</v>
      </c>
      <c r="D223" s="912" t="str">
        <f>'Marketing SoA'!C310</f>
        <v>Flat</v>
      </c>
      <c r="E223" s="912" t="str">
        <f>'Marketing SoA'!D310</f>
        <v>SF F</v>
      </c>
      <c r="F223" s="912">
        <f>'Marketing SoA'!E310</f>
        <v>54.1</v>
      </c>
      <c r="G223" s="950">
        <f>'Marketing SoA'!F310</f>
        <v>582.32699000000002</v>
      </c>
      <c r="H223" s="912" t="str">
        <f>'Marketing SoA'!G310</f>
        <v>1B2P</v>
      </c>
      <c r="I223" s="912">
        <f>'Marketing SoA'!H310</f>
        <v>1</v>
      </c>
      <c r="J223" s="912" t="str">
        <f>'Marketing SoA'!I310</f>
        <v>-</v>
      </c>
      <c r="K223" s="912" t="str">
        <f>'Marketing SoA'!J310</f>
        <v>On-site within MSCP</v>
      </c>
      <c r="L223" s="912" t="str">
        <f>'Marketing SoA'!K310</f>
        <v>Balcony</v>
      </c>
      <c r="M223" s="913">
        <f>'Marketing SoA'!L310</f>
        <v>86</v>
      </c>
      <c r="O223" s="1191"/>
      <c r="P223" s="1192"/>
      <c r="Q223" s="1192"/>
      <c r="R223" s="1192"/>
      <c r="S223" s="1193"/>
    </row>
    <row r="224" spans="1:19" ht="30" x14ac:dyDescent="0.25">
      <c r="A224" s="1275"/>
      <c r="B224" s="1251"/>
      <c r="C224" s="912">
        <f>'Marketing SoA'!B311</f>
        <v>305</v>
      </c>
      <c r="D224" s="912" t="str">
        <f>'Marketing SoA'!C311</f>
        <v>Flat</v>
      </c>
      <c r="E224" s="912" t="str">
        <f>'Marketing SoA'!D311</f>
        <v>TF F</v>
      </c>
      <c r="F224" s="912">
        <f>'Marketing SoA'!E311</f>
        <v>54.1</v>
      </c>
      <c r="G224" s="950">
        <f>'Marketing SoA'!F311</f>
        <v>582.32699000000002</v>
      </c>
      <c r="H224" s="912" t="str">
        <f>'Marketing SoA'!G311</f>
        <v>1B2P</v>
      </c>
      <c r="I224" s="912">
        <f>'Marketing SoA'!H311</f>
        <v>1</v>
      </c>
      <c r="J224" s="912" t="str">
        <f>'Marketing SoA'!I311</f>
        <v>-</v>
      </c>
      <c r="K224" s="912" t="str">
        <f>'Marketing SoA'!J311</f>
        <v>On-site within MSCP</v>
      </c>
      <c r="L224" s="912" t="str">
        <f>'Marketing SoA'!K311</f>
        <v>Roof Terrace</v>
      </c>
      <c r="M224" s="913">
        <f>'Marketing SoA'!L311</f>
        <v>143</v>
      </c>
      <c r="O224" s="1191"/>
      <c r="P224" s="1192"/>
      <c r="Q224" s="1192"/>
      <c r="R224" s="1192"/>
      <c r="S224" s="1193"/>
    </row>
    <row r="225" spans="1:28" ht="30" x14ac:dyDescent="0.25">
      <c r="A225" s="1275"/>
      <c r="B225" s="1251"/>
      <c r="C225" s="912">
        <f>'Marketing SoA'!B312</f>
        <v>306</v>
      </c>
      <c r="D225" s="912" t="str">
        <f>'Marketing SoA'!C312</f>
        <v>Duplex Flat</v>
      </c>
      <c r="E225" s="912" t="str">
        <f>'Marketing SoA'!D312</f>
        <v>GF DF</v>
      </c>
      <c r="F225" s="912">
        <f>'Marketing SoA'!E312</f>
        <v>65.5</v>
      </c>
      <c r="G225" s="950">
        <f>'Marketing SoA'!F312</f>
        <v>705.03544999999997</v>
      </c>
      <c r="H225" s="912" t="str">
        <f>'Marketing SoA'!G312</f>
        <v>1B2P</v>
      </c>
      <c r="I225" s="912">
        <f>'Marketing SoA'!H312</f>
        <v>1</v>
      </c>
      <c r="J225" s="912" t="str">
        <f>'Marketing SoA'!I312</f>
        <v>-</v>
      </c>
      <c r="K225" s="912" t="str">
        <f>'Marketing SoA'!J312</f>
        <v>On-site within MSCP</v>
      </c>
      <c r="L225" s="912" t="str">
        <f>'Marketing SoA'!K312</f>
        <v>Shared Roof Terrace</v>
      </c>
      <c r="M225" s="913" t="str">
        <f>'Marketing SoA'!L312</f>
        <v>-</v>
      </c>
      <c r="O225" s="1191"/>
      <c r="P225" s="1192"/>
      <c r="Q225" s="1192"/>
      <c r="R225" s="1192"/>
      <c r="S225" s="1193"/>
    </row>
    <row r="226" spans="1:28" ht="30.75" thickBot="1" x14ac:dyDescent="0.3">
      <c r="A226" s="1275"/>
      <c r="B226" s="1251"/>
      <c r="C226" s="912">
        <f>'Marketing SoA'!B313</f>
        <v>307</v>
      </c>
      <c r="D226" s="912" t="str">
        <f>'Marketing SoA'!C313</f>
        <v>Duplex Maisonette</v>
      </c>
      <c r="E226" s="912" t="str">
        <f>'Marketing SoA'!D313</f>
        <v>GF DF</v>
      </c>
      <c r="F226" s="912">
        <f>'Marketing SoA'!E313</f>
        <v>89.5</v>
      </c>
      <c r="G226" s="950">
        <f>'Marketing SoA'!F313</f>
        <v>963.36905000000002</v>
      </c>
      <c r="H226" s="912" t="str">
        <f>'Marketing SoA'!G313</f>
        <v>3B6P</v>
      </c>
      <c r="I226" s="912">
        <f>'Marketing SoA'!H313</f>
        <v>2</v>
      </c>
      <c r="J226" s="912" t="str">
        <f>'Marketing SoA'!I313</f>
        <v>-</v>
      </c>
      <c r="K226" s="912" t="str">
        <f>'Marketing SoA'!J313</f>
        <v>On-site within MSCP</v>
      </c>
      <c r="L226" s="912" t="str">
        <f>'Marketing SoA'!K313</f>
        <v>Private Front Garden</v>
      </c>
      <c r="M226" s="913">
        <f>'Marketing SoA'!L313</f>
        <v>196</v>
      </c>
      <c r="O226" s="1194"/>
      <c r="P226" s="1192"/>
      <c r="Q226" s="1192"/>
      <c r="R226" s="1192"/>
      <c r="S226" s="1193"/>
    </row>
    <row r="227" spans="1:28" ht="31.5" thickTop="1" thickBot="1" x14ac:dyDescent="0.3">
      <c r="A227" s="1276" t="s">
        <v>624</v>
      </c>
      <c r="B227" s="1285" t="s">
        <v>25</v>
      </c>
      <c r="C227" s="918">
        <f>'Marketing SoA'!B148</f>
        <v>143</v>
      </c>
      <c r="D227" s="918" t="str">
        <f>'Marketing SoA'!C148</f>
        <v>Maisonette</v>
      </c>
      <c r="E227" s="918" t="str">
        <f>'Marketing SoA'!D148</f>
        <v>GF M</v>
      </c>
      <c r="F227" s="918">
        <f>'Marketing SoA'!E148</f>
        <v>38.200000000000003</v>
      </c>
      <c r="G227" s="952">
        <f>'Marketing SoA'!F148</f>
        <v>411.18098000000003</v>
      </c>
      <c r="H227" s="918" t="str">
        <f>'Marketing SoA'!G148</f>
        <v>1B2P</v>
      </c>
      <c r="I227" s="918">
        <f>'Marketing SoA'!H148</f>
        <v>1</v>
      </c>
      <c r="J227" s="918" t="str">
        <f>'Marketing SoA'!I148</f>
        <v>-</v>
      </c>
      <c r="K227" s="918" t="str">
        <f>'Marketing SoA'!J148</f>
        <v>On-site within MSCP</v>
      </c>
      <c r="L227" s="918" t="str">
        <f>'Marketing SoA'!K148</f>
        <v>Shared Garden</v>
      </c>
      <c r="M227" s="919" t="str">
        <f>'Marketing SoA'!L148</f>
        <v>-</v>
      </c>
      <c r="O227" s="1165" t="s">
        <v>624</v>
      </c>
      <c r="P227" s="1168" t="s">
        <v>14</v>
      </c>
      <c r="Q227" s="1169"/>
      <c r="R227" s="1174">
        <v>169.5</v>
      </c>
      <c r="S227" s="1177">
        <f>SUM(R227*10.7639)</f>
        <v>1824.4810499999999</v>
      </c>
      <c r="U227" s="1150" t="s">
        <v>624</v>
      </c>
      <c r="V227" s="1136" t="s">
        <v>625</v>
      </c>
      <c r="W227" s="1137"/>
      <c r="X227" s="1137"/>
      <c r="Y227" s="1137"/>
      <c r="Z227" s="1137"/>
      <c r="AA227" s="1137"/>
      <c r="AB227" s="1138"/>
    </row>
    <row r="228" spans="1:28" ht="30" customHeight="1" x14ac:dyDescent="0.25">
      <c r="A228" s="1276"/>
      <c r="B228" s="1286"/>
      <c r="C228" s="911">
        <f>'Marketing SoA'!B149</f>
        <v>144</v>
      </c>
      <c r="D228" s="911" t="str">
        <f>'Marketing SoA'!C149</f>
        <v>Maisonette</v>
      </c>
      <c r="E228" s="911" t="str">
        <f>'Marketing SoA'!D149</f>
        <v>GF M</v>
      </c>
      <c r="F228" s="911">
        <f>'Marketing SoA'!E149</f>
        <v>52.1</v>
      </c>
      <c r="G228" s="953">
        <f>'Marketing SoA'!F149</f>
        <v>560.79918999999995</v>
      </c>
      <c r="H228" s="911" t="str">
        <f>'Marketing SoA'!G149</f>
        <v>1B2P</v>
      </c>
      <c r="I228" s="911">
        <f>'Marketing SoA'!H149</f>
        <v>1</v>
      </c>
      <c r="J228" s="911" t="str">
        <f>'Marketing SoA'!I149</f>
        <v>-</v>
      </c>
      <c r="K228" s="911" t="str">
        <f>'Marketing SoA'!J149</f>
        <v>On-site within MSCP</v>
      </c>
      <c r="L228" s="911" t="str">
        <f>'Marketing SoA'!K149</f>
        <v>Shared Garden</v>
      </c>
      <c r="M228" s="920" t="str">
        <f>'Marketing SoA'!L149</f>
        <v>-</v>
      </c>
      <c r="O228" s="1166"/>
      <c r="P228" s="1170"/>
      <c r="Q228" s="1171"/>
      <c r="R228" s="1175"/>
      <c r="S228" s="1178"/>
      <c r="U228" s="1150"/>
      <c r="V228" s="165"/>
      <c r="W228" s="791" t="s">
        <v>60</v>
      </c>
      <c r="X228" s="385" t="s">
        <v>192</v>
      </c>
      <c r="Y228" s="792" t="s">
        <v>78</v>
      </c>
      <c r="Z228" s="793" t="s">
        <v>55</v>
      </c>
      <c r="AA228" s="162" t="s">
        <v>56</v>
      </c>
      <c r="AB228" s="655" t="s">
        <v>52</v>
      </c>
    </row>
    <row r="229" spans="1:28" ht="30" x14ac:dyDescent="0.25">
      <c r="A229" s="1276"/>
      <c r="B229" s="1286"/>
      <c r="C229" s="911">
        <f>'Marketing SoA'!B150</f>
        <v>145</v>
      </c>
      <c r="D229" s="911" t="str">
        <f>'Marketing SoA'!C150</f>
        <v>Flat</v>
      </c>
      <c r="E229" s="911" t="str">
        <f>'Marketing SoA'!D150</f>
        <v>FF F</v>
      </c>
      <c r="F229" s="911">
        <f>'Marketing SoA'!E150</f>
        <v>38.200000000000003</v>
      </c>
      <c r="G229" s="953">
        <f>'Marketing SoA'!F150</f>
        <v>411.18098000000003</v>
      </c>
      <c r="H229" s="911" t="str">
        <f>'Marketing SoA'!G150</f>
        <v>1B2P</v>
      </c>
      <c r="I229" s="911">
        <f>'Marketing SoA'!H150</f>
        <v>1</v>
      </c>
      <c r="J229" s="911" t="str">
        <f>'Marketing SoA'!I150</f>
        <v>-</v>
      </c>
      <c r="K229" s="911" t="str">
        <f>'Marketing SoA'!J150</f>
        <v>On-site within MSCP</v>
      </c>
      <c r="L229" s="911" t="str">
        <f>'Marketing SoA'!K150</f>
        <v>Balcony</v>
      </c>
      <c r="M229" s="920">
        <f>'Marketing SoA'!L150</f>
        <v>155</v>
      </c>
      <c r="O229" s="1166"/>
      <c r="P229" s="1170"/>
      <c r="Q229" s="1171"/>
      <c r="R229" s="1175"/>
      <c r="S229" s="1178"/>
      <c r="U229" s="1150"/>
      <c r="V229" s="155" t="s">
        <v>28</v>
      </c>
      <c r="W229" s="781">
        <f>COUNTIFS('Plot By Plot SoA'!$E$173:$E$246,"Y",'Plot By Plot SoA'!$K$173:$K$246,"Y")</f>
        <v>0</v>
      </c>
      <c r="X229" s="789">
        <f>COUNTIFS('Plot By Plot SoA'!$F$173:$F$246,"Y",'Plot By Plot SoA'!$K$173:$K$246,"Y")</f>
        <v>0</v>
      </c>
      <c r="Y229" s="786">
        <f>COUNTIFS('Plot By Plot SoA'!$G$173:$G$246,"Y",'Plot By Plot SoA'!$K$173:$K$246,"Y")</f>
        <v>6</v>
      </c>
      <c r="Z229" s="786">
        <f>COUNTIFS('Plot By Plot SoA'!$H$143:$H$246,"Y",'Plot By Plot SoA'!$K$143:$K$246,"Y")</f>
        <v>1</v>
      </c>
      <c r="AA229" s="780">
        <f>COUNTIFS('Plot By Plot SoA'!$I$173:$I$246,"Y",'Plot By Plot SoA'!$K$173:$K$246,"Y")</f>
        <v>47</v>
      </c>
      <c r="AB229" s="471">
        <f>SUM(W229:AA229)</f>
        <v>54</v>
      </c>
    </row>
    <row r="230" spans="1:28" ht="30.75" thickBot="1" x14ac:dyDescent="0.3">
      <c r="A230" s="1276"/>
      <c r="B230" s="1286"/>
      <c r="C230" s="911">
        <f>'Marketing SoA'!B151</f>
        <v>146</v>
      </c>
      <c r="D230" s="911" t="str">
        <f>'Marketing SoA'!C151</f>
        <v>Flat</v>
      </c>
      <c r="E230" s="911" t="str">
        <f>'Marketing SoA'!D151</f>
        <v>FF F</v>
      </c>
      <c r="F230" s="911">
        <f>'Marketing SoA'!E151</f>
        <v>52.1</v>
      </c>
      <c r="G230" s="953">
        <f>'Marketing SoA'!F151</f>
        <v>560.79918999999995</v>
      </c>
      <c r="H230" s="911" t="str">
        <f>'Marketing SoA'!G151</f>
        <v>1B2P</v>
      </c>
      <c r="I230" s="911">
        <f>'Marketing SoA'!H151</f>
        <v>1</v>
      </c>
      <c r="J230" s="911" t="str">
        <f>'Marketing SoA'!I151</f>
        <v>-</v>
      </c>
      <c r="K230" s="911" t="str">
        <f>'Marketing SoA'!J151</f>
        <v>On-site within MSCP</v>
      </c>
      <c r="L230" s="911" t="str">
        <f>'Marketing SoA'!K151</f>
        <v>Shared Garden</v>
      </c>
      <c r="M230" s="920" t="str">
        <f>'Marketing SoA'!L151</f>
        <v>-</v>
      </c>
      <c r="O230" s="1167"/>
      <c r="P230" s="1172"/>
      <c r="Q230" s="1173"/>
      <c r="R230" s="1176"/>
      <c r="S230" s="1179"/>
      <c r="U230" s="1150"/>
      <c r="V230" s="155" t="s">
        <v>29</v>
      </c>
      <c r="W230" s="782">
        <f>COUNTIFS('Plot By Plot SoA'!$E$173:$E$246,"Y",'Plot By Plot SoA'!$L$173:$L$246,"Y")</f>
        <v>0</v>
      </c>
      <c r="X230" s="198">
        <f>COUNTIFS('Plot By Plot SoA'!$F$173:$F$246,"Y",'Plot By Plot SoA'!$L$173:$L$246,"Y")</f>
        <v>0</v>
      </c>
      <c r="Y230" s="770">
        <f>COUNTIFS('Plot By Plot SoA'!$G$173:$G$246,"Y",'Plot By Plot SoA'!$L$173:$L$246,"Y")</f>
        <v>4</v>
      </c>
      <c r="Z230" s="770">
        <f>COUNTIFS('Plot By Plot SoA'!$H$173:$H$246,"Y",'Plot By Plot SoA'!$L$173:$L$246,"Y")</f>
        <v>9</v>
      </c>
      <c r="AA230" s="779">
        <f>COUNTIFS('Plot By Plot SoA'!$I$173:$I$246,"Y",'Plot By Plot SoA'!$L$173:$L$246,"Y")</f>
        <v>6</v>
      </c>
      <c r="AB230" s="805">
        <f>SUM(W230:AA230)</f>
        <v>19</v>
      </c>
    </row>
    <row r="231" spans="1:28" ht="30.75" thickTop="1" x14ac:dyDescent="0.25">
      <c r="A231" s="1276"/>
      <c r="B231" s="1286"/>
      <c r="C231" s="911">
        <f>'Marketing SoA'!B152</f>
        <v>147</v>
      </c>
      <c r="D231" s="911" t="str">
        <f>'Marketing SoA'!C152</f>
        <v>Flat</v>
      </c>
      <c r="E231" s="911" t="str">
        <f>'Marketing SoA'!D152</f>
        <v>SF F</v>
      </c>
      <c r="F231" s="911">
        <f>'Marketing SoA'!E152</f>
        <v>38.200000000000003</v>
      </c>
      <c r="G231" s="953">
        <f>'Marketing SoA'!F152</f>
        <v>411.18098000000003</v>
      </c>
      <c r="H231" s="911" t="str">
        <f>'Marketing SoA'!G152</f>
        <v>1B2P</v>
      </c>
      <c r="I231" s="911">
        <f>'Marketing SoA'!H152</f>
        <v>1</v>
      </c>
      <c r="J231" s="911" t="str">
        <f>'Marketing SoA'!I152</f>
        <v>-</v>
      </c>
      <c r="K231" s="911" t="str">
        <f>'Marketing SoA'!J152</f>
        <v>On-site within MSCP</v>
      </c>
      <c r="L231" s="911" t="str">
        <f>'Marketing SoA'!K152</f>
        <v>Balcony</v>
      </c>
      <c r="M231" s="920">
        <f>'Marketing SoA'!L152</f>
        <v>76</v>
      </c>
      <c r="O231" s="1188"/>
      <c r="P231" s="1192"/>
      <c r="Q231" s="1192"/>
      <c r="R231" s="1192"/>
      <c r="S231" s="1193"/>
      <c r="U231" s="1150"/>
      <c r="V231" s="155" t="s">
        <v>30</v>
      </c>
      <c r="W231" s="784">
        <f>COUNTIFS('Plot By Plot SoA'!$E$173:$E$246,"Y",'Plot By Plot SoA'!$M$173:$M$246,"Y")</f>
        <v>0</v>
      </c>
      <c r="X231" s="180">
        <f>COUNTIFS('Plot By Plot SoA'!$F$173:$F$246,"Y",'Plot By Plot SoA'!$M$173:$M$246,"Y")</f>
        <v>0</v>
      </c>
      <c r="Y231" s="787">
        <f>COUNTIFS('Plot By Plot SoA'!$G$173:$G$246,"Y",'Plot By Plot SoA'!$M$173:$M$246,"Y")</f>
        <v>1</v>
      </c>
      <c r="Z231" s="787">
        <f>COUNTIFS('Plot By Plot SoA'!$H$173:$H$246,"Y",'Plot By Plot SoA'!$M$173:$M$246,"Y")</f>
        <v>0</v>
      </c>
      <c r="AA231" s="785">
        <f>COUNTIFS('Plot By Plot SoA'!$I$173:$I$246,"Y",'Plot By Plot SoA'!$M$173:$M$246,"Y")</f>
        <v>0</v>
      </c>
      <c r="AB231" s="805">
        <f>SUM(W231:AA231)</f>
        <v>1</v>
      </c>
    </row>
    <row r="232" spans="1:28" ht="30.75" thickBot="1" x14ac:dyDescent="0.3">
      <c r="A232" s="1276"/>
      <c r="B232" s="1286"/>
      <c r="C232" s="911">
        <f>'Marketing SoA'!B153</f>
        <v>148</v>
      </c>
      <c r="D232" s="911" t="str">
        <f>'Marketing SoA'!C153</f>
        <v>Flat</v>
      </c>
      <c r="E232" s="911" t="str">
        <f>'Marketing SoA'!D153</f>
        <v>SF F</v>
      </c>
      <c r="F232" s="911">
        <f>'Marketing SoA'!E153</f>
        <v>52.1</v>
      </c>
      <c r="G232" s="953">
        <f>'Marketing SoA'!F153</f>
        <v>560.79918999999995</v>
      </c>
      <c r="H232" s="911" t="str">
        <f>'Marketing SoA'!G153</f>
        <v>1B2P</v>
      </c>
      <c r="I232" s="911">
        <f>'Marketing SoA'!H153</f>
        <v>1</v>
      </c>
      <c r="J232" s="911" t="str">
        <f>'Marketing SoA'!I153</f>
        <v>-</v>
      </c>
      <c r="K232" s="911" t="str">
        <f>'Marketing SoA'!J153</f>
        <v>On-site within MSCP</v>
      </c>
      <c r="L232" s="911" t="str">
        <f>'Marketing SoA'!K153</f>
        <v>Shared Garden</v>
      </c>
      <c r="M232" s="920" t="str">
        <f>'Marketing SoA'!L153</f>
        <v>-</v>
      </c>
      <c r="O232" s="1191"/>
      <c r="P232" s="1192"/>
      <c r="Q232" s="1192"/>
      <c r="R232" s="1192"/>
      <c r="S232" s="1193"/>
      <c r="U232" s="1150"/>
      <c r="V232" s="165" t="s">
        <v>62</v>
      </c>
      <c r="W232" s="783">
        <f>COUNTIFS('Plot By Plot SoA'!$E$173:$E$246,"Y",'Plot By Plot SoA'!$N$173:$N$246,"Y")</f>
        <v>0</v>
      </c>
      <c r="X232" s="790">
        <f>COUNTIFS('Plot By Plot SoA'!$F$173:$F$246,"Y",'Plot By Plot SoA'!$N$173:$N$246,"Y")</f>
        <v>0</v>
      </c>
      <c r="Y232" s="788">
        <f>COUNTIFS('Plot By Plot SoA'!$G$173:$G$246,"Y",'Plot By Plot SoA'!$N$173:$N$246,"Y")</f>
        <v>0</v>
      </c>
      <c r="Z232" s="788">
        <f>COUNTIFS('Plot By Plot SoA'!$H$173:$H$246,"Y",'Plot By Plot SoA'!$N$173:$N$246,"Y")</f>
        <v>0</v>
      </c>
      <c r="AA232" s="162">
        <f>COUNTIFS('Plot By Plot SoA'!$I$173:$I$246,"Y",'Plot By Plot SoA'!$N$173:$N$246,"Y")</f>
        <v>0</v>
      </c>
      <c r="AB232" s="656">
        <f>SUM(W232:AA232)</f>
        <v>0</v>
      </c>
    </row>
    <row r="233" spans="1:28" ht="30.75" thickBot="1" x14ac:dyDescent="0.3">
      <c r="A233" s="1276"/>
      <c r="B233" s="1286"/>
      <c r="C233" s="911">
        <f>'Marketing SoA'!B154</f>
        <v>149</v>
      </c>
      <c r="D233" s="911" t="str">
        <f>'Marketing SoA'!C154</f>
        <v>Duplex Flat</v>
      </c>
      <c r="E233" s="911" t="str">
        <f>'Marketing SoA'!D154</f>
        <v>SF DF</v>
      </c>
      <c r="F233" s="911">
        <f>'Marketing SoA'!E154</f>
        <v>70</v>
      </c>
      <c r="G233" s="953">
        <f>'Marketing SoA'!F154</f>
        <v>753.47299999999996</v>
      </c>
      <c r="H233" s="911" t="str">
        <f>'Marketing SoA'!G154</f>
        <v>2B3P</v>
      </c>
      <c r="I233" s="911">
        <f>'Marketing SoA'!H154</f>
        <v>2</v>
      </c>
      <c r="J233" s="911" t="str">
        <f>'Marketing SoA'!I154</f>
        <v>-</v>
      </c>
      <c r="K233" s="911" t="str">
        <f>'Marketing SoA'!J154</f>
        <v>On-site within MSCP</v>
      </c>
      <c r="L233" s="911" t="str">
        <f>'Marketing SoA'!K154</f>
        <v>Shared Garden</v>
      </c>
      <c r="M233" s="920" t="str">
        <f>'Marketing SoA'!L154</f>
        <v>-</v>
      </c>
      <c r="O233" s="1191"/>
      <c r="P233" s="1192"/>
      <c r="Q233" s="1192"/>
      <c r="R233" s="1192"/>
      <c r="S233" s="1193"/>
      <c r="U233" s="1150"/>
      <c r="V233" s="648" t="s">
        <v>52</v>
      </c>
      <c r="W233" s="480">
        <f>SUM(W229:W232)</f>
        <v>0</v>
      </c>
      <c r="X233" s="649">
        <f>SUM(X230:X232)</f>
        <v>0</v>
      </c>
      <c r="Y233" s="480">
        <f>SUM(Y229:Y232)</f>
        <v>11</v>
      </c>
      <c r="Z233" s="480">
        <f>SUM(Z229:Z232)</f>
        <v>10</v>
      </c>
      <c r="AA233" s="480">
        <f>SUM(AA229:AA232)</f>
        <v>53</v>
      </c>
      <c r="AB233" s="891">
        <f>SUM(W233:AA233)</f>
        <v>74</v>
      </c>
    </row>
    <row r="234" spans="1:28" ht="30.75" thickBot="1" x14ac:dyDescent="0.3">
      <c r="A234" s="1276"/>
      <c r="B234" s="1286"/>
      <c r="C234" s="911">
        <f>'Marketing SoA'!B155</f>
        <v>150</v>
      </c>
      <c r="D234" s="911" t="str">
        <f>'Marketing SoA'!C155</f>
        <v>Flat</v>
      </c>
      <c r="E234" s="911" t="str">
        <f>'Marketing SoA'!D155</f>
        <v>TF F</v>
      </c>
      <c r="F234" s="911">
        <f>'Marketing SoA'!E155</f>
        <v>38.200000000000003</v>
      </c>
      <c r="G234" s="953">
        <f>'Marketing SoA'!F155</f>
        <v>411.18098000000003</v>
      </c>
      <c r="H234" s="911" t="str">
        <f>'Marketing SoA'!G155</f>
        <v>1B2P</v>
      </c>
      <c r="I234" s="911">
        <f>'Marketing SoA'!H155</f>
        <v>1</v>
      </c>
      <c r="J234" s="911" t="str">
        <f>'Marketing SoA'!I155</f>
        <v>-</v>
      </c>
      <c r="K234" s="911" t="str">
        <f>'Marketing SoA'!J155</f>
        <v>On-site within MSCP</v>
      </c>
      <c r="L234" s="911" t="str">
        <f>'Marketing SoA'!K155</f>
        <v>Balcony</v>
      </c>
      <c r="M234" s="920">
        <f>'Marketing SoA'!L155</f>
        <v>76</v>
      </c>
      <c r="O234" s="1191"/>
      <c r="P234" s="1192"/>
      <c r="Q234" s="1192"/>
      <c r="R234" s="1192"/>
      <c r="S234" s="1193"/>
      <c r="U234" s="1150"/>
    </row>
    <row r="235" spans="1:28" ht="30" x14ac:dyDescent="0.25">
      <c r="A235" s="1276"/>
      <c r="B235" s="1286"/>
      <c r="C235" s="911">
        <f>'Marketing SoA'!B156</f>
        <v>151</v>
      </c>
      <c r="D235" s="911" t="str">
        <f>'Marketing SoA'!C156</f>
        <v>Flat</v>
      </c>
      <c r="E235" s="911" t="str">
        <f>'Marketing SoA'!D156</f>
        <v>TF F</v>
      </c>
      <c r="F235" s="911">
        <f>'Marketing SoA'!E156</f>
        <v>52.1</v>
      </c>
      <c r="G235" s="953">
        <f>'Marketing SoA'!F156</f>
        <v>560.79918999999995</v>
      </c>
      <c r="H235" s="911" t="str">
        <f>'Marketing SoA'!G156</f>
        <v>1B2P</v>
      </c>
      <c r="I235" s="911">
        <f>'Marketing SoA'!H156</f>
        <v>1</v>
      </c>
      <c r="J235" s="911" t="str">
        <f>'Marketing SoA'!I156</f>
        <v>-</v>
      </c>
      <c r="K235" s="911" t="str">
        <f>'Marketing SoA'!J156</f>
        <v>On-site within MSCP</v>
      </c>
      <c r="L235" s="911" t="str">
        <f>'Marketing SoA'!K156</f>
        <v>Shared Garden</v>
      </c>
      <c r="M235" s="920" t="str">
        <f>'Marketing SoA'!L156</f>
        <v>-</v>
      </c>
      <c r="O235" s="1191"/>
      <c r="P235" s="1192"/>
      <c r="Q235" s="1192"/>
      <c r="R235" s="1192"/>
      <c r="S235" s="1193"/>
      <c r="U235" s="1150"/>
      <c r="V235" s="1139" t="s">
        <v>413</v>
      </c>
      <c r="W235" s="1140"/>
      <c r="X235" s="1140"/>
      <c r="Y235" s="1140"/>
      <c r="Z235" s="1140"/>
      <c r="AA235" s="1141"/>
    </row>
    <row r="236" spans="1:28" ht="30" x14ac:dyDescent="0.35">
      <c r="A236" s="1276"/>
      <c r="B236" s="1286"/>
      <c r="C236" s="911">
        <f>'Marketing SoA'!B157</f>
        <v>152</v>
      </c>
      <c r="D236" s="911" t="str">
        <f>'Marketing SoA'!C157</f>
        <v>Flat</v>
      </c>
      <c r="E236" s="911" t="str">
        <f>'Marketing SoA'!D157</f>
        <v>4F F</v>
      </c>
      <c r="F236" s="911">
        <f>'Marketing SoA'!E157</f>
        <v>38.200000000000003</v>
      </c>
      <c r="G236" s="953">
        <f>'Marketing SoA'!F157</f>
        <v>411.18098000000003</v>
      </c>
      <c r="H236" s="911" t="str">
        <f>'Marketing SoA'!G157</f>
        <v>1B2P</v>
      </c>
      <c r="I236" s="911">
        <f>'Marketing SoA'!H157</f>
        <v>1</v>
      </c>
      <c r="J236" s="911" t="str">
        <f>'Marketing SoA'!I157</f>
        <v>-</v>
      </c>
      <c r="K236" s="911" t="str">
        <f>'Marketing SoA'!J157</f>
        <v>On-site within MSCP</v>
      </c>
      <c r="L236" s="911" t="str">
        <f>'Marketing SoA'!K157</f>
        <v>Balcony</v>
      </c>
      <c r="M236" s="920">
        <f>'Marketing SoA'!L157</f>
        <v>76</v>
      </c>
      <c r="O236" s="1191"/>
      <c r="P236" s="1192"/>
      <c r="Q236" s="1192"/>
      <c r="R236" s="1192"/>
      <c r="S236" s="1193"/>
      <c r="U236" s="1150"/>
      <c r="V236" s="1142"/>
      <c r="W236" s="1143"/>
      <c r="X236" s="1143"/>
      <c r="Y236" s="1144"/>
      <c r="Z236" s="644" t="s">
        <v>243</v>
      </c>
      <c r="AA236" s="645" t="s">
        <v>242</v>
      </c>
    </row>
    <row r="237" spans="1:28" ht="30" x14ac:dyDescent="0.25">
      <c r="A237" s="1276"/>
      <c r="B237" s="1286"/>
      <c r="C237" s="911">
        <f>'Marketing SoA'!B158</f>
        <v>153</v>
      </c>
      <c r="D237" s="911" t="str">
        <f>'Marketing SoA'!C158</f>
        <v>Flat</v>
      </c>
      <c r="E237" s="911" t="str">
        <f>'Marketing SoA'!D158</f>
        <v>4F F</v>
      </c>
      <c r="F237" s="911">
        <f>'Marketing SoA'!E158</f>
        <v>49.8</v>
      </c>
      <c r="G237" s="953">
        <f>'Marketing SoA'!F158</f>
        <v>536.04221999999993</v>
      </c>
      <c r="H237" s="911" t="str">
        <f>'Marketing SoA'!G158</f>
        <v>1B2P</v>
      </c>
      <c r="I237" s="911">
        <f>'Marketing SoA'!H158</f>
        <v>1</v>
      </c>
      <c r="J237" s="911" t="str">
        <f>'Marketing SoA'!I158</f>
        <v>-</v>
      </c>
      <c r="K237" s="911" t="str">
        <f>'Marketing SoA'!J158</f>
        <v>On-site within MSCP</v>
      </c>
      <c r="L237" s="911" t="str">
        <f>'Marketing SoA'!K158</f>
        <v>Shared Garden</v>
      </c>
      <c r="M237" s="920" t="str">
        <f>'Marketing SoA'!L158</f>
        <v>-</v>
      </c>
      <c r="O237" s="1191"/>
      <c r="P237" s="1192"/>
      <c r="Q237" s="1192"/>
      <c r="R237" s="1192"/>
      <c r="S237" s="1193"/>
      <c r="U237" s="1150"/>
      <c r="V237" s="1145" t="s">
        <v>638</v>
      </c>
      <c r="W237" s="1146"/>
      <c r="X237" s="1146"/>
      <c r="Y237" s="1147"/>
      <c r="Z237" s="776">
        <f>SUM(F227:F300)</f>
        <v>4215.7999999999975</v>
      </c>
      <c r="AA237" s="890">
        <f>SUM(Z237*10.764)</f>
        <v>45378.871199999972</v>
      </c>
    </row>
    <row r="238" spans="1:28" ht="30.75" thickBot="1" x14ac:dyDescent="0.3">
      <c r="A238" s="1276"/>
      <c r="B238" s="1286"/>
      <c r="C238" s="911">
        <f>'Marketing SoA'!B159</f>
        <v>154</v>
      </c>
      <c r="D238" s="911" t="str">
        <f>'Marketing SoA'!C159</f>
        <v>Flat</v>
      </c>
      <c r="E238" s="911" t="str">
        <f>'Marketing SoA'!D159</f>
        <v>5F F</v>
      </c>
      <c r="F238" s="911">
        <f>'Marketing SoA'!E159</f>
        <v>37.200000000000003</v>
      </c>
      <c r="G238" s="953">
        <f>'Marketing SoA'!F159</f>
        <v>400.41708</v>
      </c>
      <c r="H238" s="911" t="str">
        <f>'Marketing SoA'!G159</f>
        <v>1B2P</v>
      </c>
      <c r="I238" s="911">
        <f>'Marketing SoA'!H159</f>
        <v>1</v>
      </c>
      <c r="J238" s="911" t="str">
        <f>'Marketing SoA'!I159</f>
        <v>-</v>
      </c>
      <c r="K238" s="911" t="str">
        <f>'Marketing SoA'!J159</f>
        <v>On-site within MSCP</v>
      </c>
      <c r="L238" s="911" t="str">
        <f>'Marketing SoA'!K159</f>
        <v>Balcony</v>
      </c>
      <c r="M238" s="920">
        <f>'Marketing SoA'!L159</f>
        <v>44</v>
      </c>
      <c r="O238" s="1191"/>
      <c r="P238" s="1192"/>
      <c r="Q238" s="1192"/>
      <c r="R238" s="1192"/>
      <c r="S238" s="1193"/>
      <c r="U238" s="1150"/>
      <c r="V238" s="1151" t="s">
        <v>637</v>
      </c>
      <c r="W238" s="1152"/>
      <c r="X238" s="1152"/>
      <c r="Y238" s="1152"/>
      <c r="Z238" s="646">
        <f>SUM(R227:R229)</f>
        <v>169.5</v>
      </c>
      <c r="AA238" s="777">
        <f>SUM(Z238*10.764)</f>
        <v>1824.4979999999998</v>
      </c>
    </row>
    <row r="239" spans="1:28" ht="30.75" thickBot="1" x14ac:dyDescent="0.3">
      <c r="A239" s="1276"/>
      <c r="B239" s="1286"/>
      <c r="C239" s="911">
        <f>'Marketing SoA'!B160</f>
        <v>155</v>
      </c>
      <c r="D239" s="911" t="str">
        <f>'Marketing SoA'!C160</f>
        <v>Flat</v>
      </c>
      <c r="E239" s="911" t="str">
        <f>'Marketing SoA'!D160</f>
        <v>5F F</v>
      </c>
      <c r="F239" s="911">
        <f>'Marketing SoA'!E160</f>
        <v>49.8</v>
      </c>
      <c r="G239" s="953">
        <f>'Marketing SoA'!F160</f>
        <v>536.04221999999993</v>
      </c>
      <c r="H239" s="911" t="str">
        <f>'Marketing SoA'!G160</f>
        <v>1B2P</v>
      </c>
      <c r="I239" s="911">
        <f>'Marketing SoA'!H160</f>
        <v>1</v>
      </c>
      <c r="J239" s="911" t="str">
        <f>'Marketing SoA'!I160</f>
        <v>-</v>
      </c>
      <c r="K239" s="911" t="str">
        <f>'Marketing SoA'!J160</f>
        <v>On-site within MSCP</v>
      </c>
      <c r="L239" s="911" t="str">
        <f>'Marketing SoA'!K160</f>
        <v>Shared Garden</v>
      </c>
      <c r="M239" s="920" t="str">
        <f>'Marketing SoA'!L160</f>
        <v>-</v>
      </c>
      <c r="O239" s="1191"/>
      <c r="P239" s="1192"/>
      <c r="Q239" s="1192"/>
      <c r="R239" s="1192"/>
      <c r="S239" s="1193"/>
      <c r="U239" s="1150"/>
      <c r="V239" s="1148" t="s">
        <v>414</v>
      </c>
      <c r="W239" s="1149"/>
      <c r="X239" s="1149"/>
      <c r="Y239" s="1149"/>
      <c r="Z239" s="647">
        <f>SUM(Z237:Z238)</f>
        <v>4385.2999999999975</v>
      </c>
      <c r="AA239" s="650">
        <f>SUM(AA237:AA238)</f>
        <v>47203.369199999972</v>
      </c>
    </row>
    <row r="240" spans="1:28" ht="30" x14ac:dyDescent="0.25">
      <c r="A240" s="1276"/>
      <c r="B240" s="1286"/>
      <c r="C240" s="911">
        <f>'Marketing SoA'!B161</f>
        <v>156</v>
      </c>
      <c r="D240" s="911" t="str">
        <f>'Marketing SoA'!C161</f>
        <v>Duplex Maisonette</v>
      </c>
      <c r="E240" s="911" t="str">
        <f>'Marketing SoA'!D161</f>
        <v>GF DM</v>
      </c>
      <c r="F240" s="911">
        <f>'Marketing SoA'!E161</f>
        <v>70.099999999999994</v>
      </c>
      <c r="G240" s="953">
        <f>'Marketing SoA'!F161</f>
        <v>754.5493899999999</v>
      </c>
      <c r="H240" s="911" t="str">
        <f>'Marketing SoA'!G161</f>
        <v>2B3P</v>
      </c>
      <c r="I240" s="911">
        <f>'Marketing SoA'!H161</f>
        <v>2</v>
      </c>
      <c r="J240" s="911" t="str">
        <f>'Marketing SoA'!I161</f>
        <v>-</v>
      </c>
      <c r="K240" s="911" t="str">
        <f>'Marketing SoA'!J161</f>
        <v>On-site within MSCP</v>
      </c>
      <c r="L240" s="911" t="str">
        <f>'Marketing SoA'!K161</f>
        <v>Shared Garden</v>
      </c>
      <c r="M240" s="920" t="str">
        <f>'Marketing SoA'!L161</f>
        <v>-</v>
      </c>
      <c r="O240" s="1191"/>
      <c r="P240" s="1192"/>
      <c r="Q240" s="1192"/>
      <c r="R240" s="1192"/>
      <c r="S240" s="1193"/>
    </row>
    <row r="241" spans="1:19" ht="30" x14ac:dyDescent="0.25">
      <c r="A241" s="1276"/>
      <c r="B241" s="1286"/>
      <c r="C241" s="911">
        <f>'Marketing SoA'!B162</f>
        <v>157</v>
      </c>
      <c r="D241" s="911" t="str">
        <f>'Marketing SoA'!C162</f>
        <v>Duplex Maisonette</v>
      </c>
      <c r="E241" s="911" t="str">
        <f>'Marketing SoA'!D162</f>
        <v>GF DM</v>
      </c>
      <c r="F241" s="911">
        <f>'Marketing SoA'!E162</f>
        <v>49</v>
      </c>
      <c r="G241" s="953">
        <f>'Marketing SoA'!F162</f>
        <v>527.43110000000001</v>
      </c>
      <c r="H241" s="911" t="str">
        <f>'Marketing SoA'!G162</f>
        <v>1B2P</v>
      </c>
      <c r="I241" s="911">
        <f>'Marketing SoA'!H162</f>
        <v>2</v>
      </c>
      <c r="J241" s="911" t="str">
        <f>'Marketing SoA'!I162</f>
        <v>-</v>
      </c>
      <c r="K241" s="911" t="str">
        <f>'Marketing SoA'!J162</f>
        <v>On-site within MSCP</v>
      </c>
      <c r="L241" s="911" t="str">
        <f>'Marketing SoA'!K162</f>
        <v>Community Amenity</v>
      </c>
      <c r="M241" s="920" t="str">
        <f>'Marketing SoA'!L162</f>
        <v>-</v>
      </c>
      <c r="O241" s="1191"/>
      <c r="P241" s="1192"/>
      <c r="Q241" s="1192"/>
      <c r="R241" s="1192"/>
      <c r="S241" s="1193"/>
    </row>
    <row r="242" spans="1:19" ht="30" x14ac:dyDescent="0.25">
      <c r="A242" s="1276"/>
      <c r="B242" s="1286"/>
      <c r="C242" s="911">
        <f>'Marketing SoA'!B163</f>
        <v>158</v>
      </c>
      <c r="D242" s="911" t="str">
        <f>'Marketing SoA'!C163</f>
        <v>Duplex Flat</v>
      </c>
      <c r="E242" s="911" t="str">
        <f>'Marketing SoA'!D163</f>
        <v>SF DM</v>
      </c>
      <c r="F242" s="911">
        <f>'Marketing SoA'!E163</f>
        <v>49</v>
      </c>
      <c r="G242" s="953">
        <f>'Marketing SoA'!F163</f>
        <v>527.43110000000001</v>
      </c>
      <c r="H242" s="911" t="str">
        <f>'Marketing SoA'!G163</f>
        <v>1B2P</v>
      </c>
      <c r="I242" s="911">
        <f>'Marketing SoA'!H163</f>
        <v>2</v>
      </c>
      <c r="J242" s="911" t="str">
        <f>'Marketing SoA'!I163</f>
        <v>-</v>
      </c>
      <c r="K242" s="911" t="str">
        <f>'Marketing SoA'!J163</f>
        <v>On-site within MSCP</v>
      </c>
      <c r="L242" s="911" t="str">
        <f>'Marketing SoA'!K163</f>
        <v>Roof Terrace</v>
      </c>
      <c r="M242" s="920">
        <f>'Marketing SoA'!L163</f>
        <v>57</v>
      </c>
      <c r="O242" s="1191"/>
      <c r="P242" s="1192"/>
      <c r="Q242" s="1192"/>
      <c r="R242" s="1192"/>
      <c r="S242" s="1193"/>
    </row>
    <row r="243" spans="1:19" ht="30" x14ac:dyDescent="0.25">
      <c r="A243" s="1276"/>
      <c r="B243" s="1286"/>
      <c r="C243" s="911">
        <f>'Marketing SoA'!B164</f>
        <v>159</v>
      </c>
      <c r="D243" s="911" t="str">
        <f>'Marketing SoA'!C164</f>
        <v>Duplex Flat</v>
      </c>
      <c r="E243" s="911" t="str">
        <f>'Marketing SoA'!D164</f>
        <v>SF DM</v>
      </c>
      <c r="F243" s="911">
        <f>'Marketing SoA'!E164</f>
        <v>85.2</v>
      </c>
      <c r="G243" s="953">
        <f>'Marketing SoA'!F164</f>
        <v>917.08428000000004</v>
      </c>
      <c r="H243" s="911" t="str">
        <f>'Marketing SoA'!G164</f>
        <v>2B4P</v>
      </c>
      <c r="I243" s="911">
        <f>'Marketing SoA'!H164</f>
        <v>2</v>
      </c>
      <c r="J243" s="911" t="str">
        <f>'Marketing SoA'!I164</f>
        <v>-</v>
      </c>
      <c r="K243" s="911" t="str">
        <f>'Marketing SoA'!J164</f>
        <v>On-site within MSCP</v>
      </c>
      <c r="L243" s="911" t="str">
        <f>'Marketing SoA'!K164</f>
        <v>Roof Terrace</v>
      </c>
      <c r="M243" s="920">
        <f>'Marketing SoA'!L164</f>
        <v>57</v>
      </c>
      <c r="O243" s="1191"/>
      <c r="P243" s="1192"/>
      <c r="Q243" s="1192"/>
      <c r="R243" s="1192"/>
      <c r="S243" s="1193"/>
    </row>
    <row r="244" spans="1:19" ht="30" x14ac:dyDescent="0.25">
      <c r="A244" s="1276"/>
      <c r="B244" s="1286"/>
      <c r="C244" s="911">
        <f>'Marketing SoA'!B165</f>
        <v>160</v>
      </c>
      <c r="D244" s="911" t="str">
        <f>'Marketing SoA'!C165</f>
        <v>Duplex Maisonette</v>
      </c>
      <c r="E244" s="911" t="str">
        <f>'Marketing SoA'!D165</f>
        <v>GF DM</v>
      </c>
      <c r="F244" s="911">
        <f>'Marketing SoA'!E165</f>
        <v>83.8</v>
      </c>
      <c r="G244" s="953">
        <f>'Marketing SoA'!F165</f>
        <v>902.01481999999999</v>
      </c>
      <c r="H244" s="911" t="str">
        <f>'Marketing SoA'!G165</f>
        <v>2B4P</v>
      </c>
      <c r="I244" s="911">
        <f>'Marketing SoA'!H165</f>
        <v>2</v>
      </c>
      <c r="J244" s="911" t="str">
        <f>'Marketing SoA'!I165</f>
        <v>-</v>
      </c>
      <c r="K244" s="911" t="str">
        <f>'Marketing SoA'!J165</f>
        <v>On-site within MSCP</v>
      </c>
      <c r="L244" s="911" t="str">
        <f>'Marketing SoA'!K165</f>
        <v>Community Amenity</v>
      </c>
      <c r="M244" s="920" t="str">
        <f>'Marketing SoA'!L165</f>
        <v>-</v>
      </c>
      <c r="O244" s="1191"/>
      <c r="P244" s="1192"/>
      <c r="Q244" s="1192"/>
      <c r="R244" s="1192"/>
      <c r="S244" s="1193"/>
    </row>
    <row r="245" spans="1:19" ht="30" x14ac:dyDescent="0.25">
      <c r="A245" s="1276"/>
      <c r="B245" s="1286"/>
      <c r="C245" s="911">
        <f>'Marketing SoA'!B166</f>
        <v>161</v>
      </c>
      <c r="D245" s="911" t="str">
        <f>'Marketing SoA'!C166</f>
        <v>Duplex Maisonette</v>
      </c>
      <c r="E245" s="911" t="str">
        <f>'Marketing SoA'!D166</f>
        <v>GF DM</v>
      </c>
      <c r="F245" s="911">
        <f>'Marketing SoA'!E166</f>
        <v>79.599999999999994</v>
      </c>
      <c r="G245" s="953">
        <f>'Marketing SoA'!F166</f>
        <v>856.80643999999995</v>
      </c>
      <c r="H245" s="911" t="str">
        <f>'Marketing SoA'!G166</f>
        <v>2B4P</v>
      </c>
      <c r="I245" s="911">
        <f>'Marketing SoA'!H166</f>
        <v>2</v>
      </c>
      <c r="J245" s="911" t="str">
        <f>'Marketing SoA'!I166</f>
        <v>-</v>
      </c>
      <c r="K245" s="911" t="str">
        <f>'Marketing SoA'!J166</f>
        <v>On-site within MSCP</v>
      </c>
      <c r="L245" s="911" t="str">
        <f>'Marketing SoA'!K166</f>
        <v>Private Front Garden</v>
      </c>
      <c r="M245" s="920">
        <f>'Marketing SoA'!L166</f>
        <v>64</v>
      </c>
      <c r="O245" s="1191"/>
      <c r="P245" s="1192"/>
      <c r="Q245" s="1192"/>
      <c r="R245" s="1192"/>
      <c r="S245" s="1193"/>
    </row>
    <row r="246" spans="1:19" ht="30" x14ac:dyDescent="0.25">
      <c r="A246" s="1276"/>
      <c r="B246" s="1286"/>
      <c r="C246" s="911">
        <f>'Marketing SoA'!B167</f>
        <v>162</v>
      </c>
      <c r="D246" s="911" t="str">
        <f>'Marketing SoA'!C167</f>
        <v>Flat</v>
      </c>
      <c r="E246" s="911" t="str">
        <f>'Marketing SoA'!D167</f>
        <v>SF F</v>
      </c>
      <c r="F246" s="911">
        <f>'Marketing SoA'!E167</f>
        <v>79.599999999999994</v>
      </c>
      <c r="G246" s="953">
        <f>'Marketing SoA'!F167</f>
        <v>856.80643999999995</v>
      </c>
      <c r="H246" s="911" t="str">
        <f>'Marketing SoA'!G167</f>
        <v>2B4P</v>
      </c>
      <c r="I246" s="911">
        <f>'Marketing SoA'!H167</f>
        <v>2</v>
      </c>
      <c r="J246" s="911" t="str">
        <f>'Marketing SoA'!I167</f>
        <v>-</v>
      </c>
      <c r="K246" s="911" t="str">
        <f>'Marketing SoA'!J167</f>
        <v>On-site within MSCP</v>
      </c>
      <c r="L246" s="911" t="str">
        <f>'Marketing SoA'!K167</f>
        <v>Roof Terrace</v>
      </c>
      <c r="M246" s="920">
        <f>'Marketing SoA'!L167</f>
        <v>57</v>
      </c>
      <c r="O246" s="1191"/>
      <c r="P246" s="1192"/>
      <c r="Q246" s="1192"/>
      <c r="R246" s="1192"/>
      <c r="S246" s="1193"/>
    </row>
    <row r="247" spans="1:19" ht="30" x14ac:dyDescent="0.25">
      <c r="A247" s="1276"/>
      <c r="B247" s="1287"/>
      <c r="C247" s="911">
        <f>'Marketing SoA'!B168</f>
        <v>163</v>
      </c>
      <c r="D247" s="911" t="str">
        <f>'Marketing SoA'!C168</f>
        <v>Flat</v>
      </c>
      <c r="E247" s="911" t="str">
        <f>'Marketing SoA'!D168</f>
        <v>SF F</v>
      </c>
      <c r="F247" s="911">
        <f>'Marketing SoA'!E168</f>
        <v>80</v>
      </c>
      <c r="G247" s="953">
        <f>'Marketing SoA'!F168</f>
        <v>861.11199999999997</v>
      </c>
      <c r="H247" s="911" t="str">
        <f>'Marketing SoA'!G168</f>
        <v>2B3P</v>
      </c>
      <c r="I247" s="911">
        <f>'Marketing SoA'!H168</f>
        <v>2</v>
      </c>
      <c r="J247" s="911" t="str">
        <f>'Marketing SoA'!I168</f>
        <v>Y</v>
      </c>
      <c r="K247" s="911" t="str">
        <f>'Marketing SoA'!J168</f>
        <v>On-site within MSCP</v>
      </c>
      <c r="L247" s="911" t="str">
        <f>'Marketing SoA'!K168</f>
        <v>Roof Terrace</v>
      </c>
      <c r="M247" s="920">
        <f>'Marketing SoA'!L168</f>
        <v>57</v>
      </c>
      <c r="O247" s="1191"/>
      <c r="P247" s="1192"/>
      <c r="Q247" s="1192"/>
      <c r="R247" s="1192"/>
      <c r="S247" s="1193"/>
    </row>
    <row r="248" spans="1:19" ht="45" x14ac:dyDescent="0.25">
      <c r="A248" s="1276"/>
      <c r="B248" s="1242" t="s">
        <v>26</v>
      </c>
      <c r="C248" s="911">
        <f>'Marketing SoA'!B169</f>
        <v>164</v>
      </c>
      <c r="D248" s="911" t="str">
        <f>'Marketing SoA'!C169</f>
        <v>Duplex Maisonette</v>
      </c>
      <c r="E248" s="911" t="str">
        <f>'Marketing SoA'!D169</f>
        <v>GF DM</v>
      </c>
      <c r="F248" s="911">
        <f>'Marketing SoA'!E169</f>
        <v>80</v>
      </c>
      <c r="G248" s="953">
        <f>'Marketing SoA'!F169</f>
        <v>861.11199999999997</v>
      </c>
      <c r="H248" s="911" t="str">
        <f>'Marketing SoA'!G169</f>
        <v>2B4P</v>
      </c>
      <c r="I248" s="911">
        <f>'Marketing SoA'!H169</f>
        <v>2</v>
      </c>
      <c r="J248" s="911" t="str">
        <f>'Marketing SoA'!I169</f>
        <v>-</v>
      </c>
      <c r="K248" s="911" t="str">
        <f>'Marketing SoA'!J169</f>
        <v>On-plot Allocated Parking</v>
      </c>
      <c r="L248" s="911" t="str">
        <f>'Marketing SoA'!K169</f>
        <v>Community Amenity</v>
      </c>
      <c r="M248" s="920" t="str">
        <f>'Marketing SoA'!L169</f>
        <v>-</v>
      </c>
      <c r="O248" s="1191"/>
      <c r="P248" s="1192"/>
      <c r="Q248" s="1192"/>
      <c r="R248" s="1192"/>
      <c r="S248" s="1193"/>
    </row>
    <row r="249" spans="1:19" ht="30" x14ac:dyDescent="0.25">
      <c r="A249" s="1276"/>
      <c r="B249" s="1243"/>
      <c r="C249" s="911">
        <f>'Marketing SoA'!B170</f>
        <v>165</v>
      </c>
      <c r="D249" s="911" t="str">
        <f>'Marketing SoA'!C170</f>
        <v>Maisonette</v>
      </c>
      <c r="E249" s="911" t="str">
        <f>'Marketing SoA'!D170</f>
        <v>GF M</v>
      </c>
      <c r="F249" s="911">
        <f>'Marketing SoA'!E170</f>
        <v>43.2</v>
      </c>
      <c r="G249" s="953">
        <f>'Marketing SoA'!F170</f>
        <v>465.00048000000004</v>
      </c>
      <c r="H249" s="911" t="str">
        <f>'Marketing SoA'!G170</f>
        <v>1B2P</v>
      </c>
      <c r="I249" s="911">
        <f>'Marketing SoA'!H170</f>
        <v>1</v>
      </c>
      <c r="J249" s="911" t="str">
        <f>'Marketing SoA'!I170</f>
        <v>-</v>
      </c>
      <c r="K249" s="911" t="str">
        <f>'Marketing SoA'!J170</f>
        <v>On-site within MSCP</v>
      </c>
      <c r="L249" s="911" t="str">
        <f>'Marketing SoA'!K170</f>
        <v>Community Amenity</v>
      </c>
      <c r="M249" s="920" t="str">
        <f>'Marketing SoA'!L170</f>
        <v>-</v>
      </c>
      <c r="O249" s="1191"/>
      <c r="P249" s="1192"/>
      <c r="Q249" s="1192"/>
      <c r="R249" s="1192"/>
      <c r="S249" s="1193"/>
    </row>
    <row r="250" spans="1:19" ht="45" x14ac:dyDescent="0.25">
      <c r="A250" s="1276"/>
      <c r="B250" s="1243"/>
      <c r="C250" s="911">
        <f>'Marketing SoA'!B171</f>
        <v>166</v>
      </c>
      <c r="D250" s="911" t="str">
        <f>'Marketing SoA'!C171</f>
        <v>Flat</v>
      </c>
      <c r="E250" s="911" t="str">
        <f>'Marketing SoA'!D171</f>
        <v>GF F</v>
      </c>
      <c r="F250" s="911">
        <f>'Marketing SoA'!E171</f>
        <v>71.7</v>
      </c>
      <c r="G250" s="953">
        <f>'Marketing SoA'!F171</f>
        <v>771.77162999999996</v>
      </c>
      <c r="H250" s="911" t="str">
        <f>'Marketing SoA'!G171</f>
        <v>2B4P</v>
      </c>
      <c r="I250" s="911">
        <f>'Marketing SoA'!H171</f>
        <v>1</v>
      </c>
      <c r="J250" s="911" t="str">
        <f>'Marketing SoA'!I171</f>
        <v>-</v>
      </c>
      <c r="K250" s="911" t="str">
        <f>'Marketing SoA'!J171</f>
        <v>On-plot Allocated Parking</v>
      </c>
      <c r="L250" s="911" t="str">
        <f>'Marketing SoA'!K171</f>
        <v>Private Front Garden</v>
      </c>
      <c r="M250" s="920">
        <f>'Marketing SoA'!L171</f>
        <v>76</v>
      </c>
      <c r="O250" s="1191"/>
      <c r="P250" s="1192"/>
      <c r="Q250" s="1192"/>
      <c r="R250" s="1192"/>
      <c r="S250" s="1193"/>
    </row>
    <row r="251" spans="1:19" ht="30" x14ac:dyDescent="0.25">
      <c r="A251" s="1276"/>
      <c r="B251" s="1243"/>
      <c r="C251" s="911">
        <f>'Marketing SoA'!B172</f>
        <v>167</v>
      </c>
      <c r="D251" s="911" t="str">
        <f>'Marketing SoA'!C172</f>
        <v>Flat</v>
      </c>
      <c r="E251" s="911" t="str">
        <f>'Marketing SoA'!D172</f>
        <v>FF F</v>
      </c>
      <c r="F251" s="911">
        <f>'Marketing SoA'!E172</f>
        <v>52.3</v>
      </c>
      <c r="G251" s="953">
        <f>'Marketing SoA'!F172</f>
        <v>562.95196999999996</v>
      </c>
      <c r="H251" s="911" t="str">
        <f>'Marketing SoA'!G172</f>
        <v>1B2P</v>
      </c>
      <c r="I251" s="911">
        <f>'Marketing SoA'!H172</f>
        <v>1</v>
      </c>
      <c r="J251" s="911" t="str">
        <f>'Marketing SoA'!I172</f>
        <v>-</v>
      </c>
      <c r="K251" s="911" t="str">
        <f>'Marketing SoA'!J172</f>
        <v>On-site within MSCP</v>
      </c>
      <c r="L251" s="911" t="str">
        <f>'Marketing SoA'!K172</f>
        <v>Community Amenity</v>
      </c>
      <c r="M251" s="920" t="str">
        <f>'Marketing SoA'!L172</f>
        <v>-</v>
      </c>
      <c r="O251" s="1191"/>
      <c r="P251" s="1192"/>
      <c r="Q251" s="1192"/>
      <c r="R251" s="1192"/>
      <c r="S251" s="1193"/>
    </row>
    <row r="252" spans="1:19" ht="30" x14ac:dyDescent="0.25">
      <c r="A252" s="1276"/>
      <c r="B252" s="1243"/>
      <c r="C252" s="911">
        <f>'Marketing SoA'!B173</f>
        <v>168</v>
      </c>
      <c r="D252" s="911" t="str">
        <f>'Marketing SoA'!C173</f>
        <v>Flat</v>
      </c>
      <c r="E252" s="911" t="str">
        <f>'Marketing SoA'!D173</f>
        <v>FF F</v>
      </c>
      <c r="F252" s="911">
        <f>'Marketing SoA'!E173</f>
        <v>71.7</v>
      </c>
      <c r="G252" s="953">
        <f>'Marketing SoA'!F173</f>
        <v>771.77162999999996</v>
      </c>
      <c r="H252" s="911" t="str">
        <f>'Marketing SoA'!G173</f>
        <v>2B4P</v>
      </c>
      <c r="I252" s="911">
        <f>'Marketing SoA'!H173</f>
        <v>1</v>
      </c>
      <c r="J252" s="911" t="str">
        <f>'Marketing SoA'!I173</f>
        <v>-</v>
      </c>
      <c r="K252" s="911" t="str">
        <f>'Marketing SoA'!J173</f>
        <v>On-site within MSCP</v>
      </c>
      <c r="L252" s="911" t="str">
        <f>'Marketing SoA'!K173</f>
        <v>Balcony</v>
      </c>
      <c r="M252" s="920">
        <f>'Marketing SoA'!L173</f>
        <v>128</v>
      </c>
      <c r="O252" s="1191"/>
      <c r="P252" s="1192"/>
      <c r="Q252" s="1192"/>
      <c r="R252" s="1192"/>
      <c r="S252" s="1193"/>
    </row>
    <row r="253" spans="1:19" ht="30" x14ac:dyDescent="0.25">
      <c r="A253" s="1276"/>
      <c r="B253" s="1243"/>
      <c r="C253" s="911">
        <f>'Marketing SoA'!B174</f>
        <v>169</v>
      </c>
      <c r="D253" s="911" t="str">
        <f>'Marketing SoA'!C174</f>
        <v>Flat</v>
      </c>
      <c r="E253" s="911" t="str">
        <f>'Marketing SoA'!D174</f>
        <v>SF F</v>
      </c>
      <c r="F253" s="911">
        <f>'Marketing SoA'!E174</f>
        <v>52.3</v>
      </c>
      <c r="G253" s="953">
        <f>'Marketing SoA'!F174</f>
        <v>562.95196999999996</v>
      </c>
      <c r="H253" s="911" t="str">
        <f>'Marketing SoA'!G174</f>
        <v>1B2P</v>
      </c>
      <c r="I253" s="911">
        <f>'Marketing SoA'!H174</f>
        <v>1</v>
      </c>
      <c r="J253" s="911" t="str">
        <f>'Marketing SoA'!I174</f>
        <v>-</v>
      </c>
      <c r="K253" s="911" t="str">
        <f>'Marketing SoA'!J174</f>
        <v>On-site within MSCP</v>
      </c>
      <c r="L253" s="911" t="str">
        <f>'Marketing SoA'!K174</f>
        <v>Community Amenity</v>
      </c>
      <c r="M253" s="920" t="str">
        <f>'Marketing SoA'!L174</f>
        <v>-</v>
      </c>
      <c r="O253" s="1191"/>
      <c r="P253" s="1192"/>
      <c r="Q253" s="1192"/>
      <c r="R253" s="1192"/>
      <c r="S253" s="1193"/>
    </row>
    <row r="254" spans="1:19" ht="30" x14ac:dyDescent="0.25">
      <c r="A254" s="1276"/>
      <c r="B254" s="1243"/>
      <c r="C254" s="911">
        <f>'Marketing SoA'!B175</f>
        <v>170</v>
      </c>
      <c r="D254" s="911" t="str">
        <f>'Marketing SoA'!C175</f>
        <v>Flat</v>
      </c>
      <c r="E254" s="911" t="str">
        <f>'Marketing SoA'!D175</f>
        <v>SF F</v>
      </c>
      <c r="F254" s="911">
        <f>'Marketing SoA'!E175</f>
        <v>71.7</v>
      </c>
      <c r="G254" s="953">
        <f>'Marketing SoA'!F175</f>
        <v>771.77162999999996</v>
      </c>
      <c r="H254" s="911" t="str">
        <f>'Marketing SoA'!G175</f>
        <v>2B4P</v>
      </c>
      <c r="I254" s="911">
        <f>'Marketing SoA'!H175</f>
        <v>1</v>
      </c>
      <c r="J254" s="911" t="str">
        <f>'Marketing SoA'!I175</f>
        <v>-</v>
      </c>
      <c r="K254" s="911" t="str">
        <f>'Marketing SoA'!J175</f>
        <v>On-site within MSCP</v>
      </c>
      <c r="L254" s="911" t="str">
        <f>'Marketing SoA'!K175</f>
        <v>Balcony</v>
      </c>
      <c r="M254" s="920">
        <f>'Marketing SoA'!L175</f>
        <v>76</v>
      </c>
      <c r="O254" s="1191"/>
      <c r="P254" s="1192"/>
      <c r="Q254" s="1192"/>
      <c r="R254" s="1192"/>
      <c r="S254" s="1193"/>
    </row>
    <row r="255" spans="1:19" ht="30" x14ac:dyDescent="0.25">
      <c r="A255" s="1276"/>
      <c r="B255" s="1243"/>
      <c r="C255" s="911">
        <f>'Marketing SoA'!B176</f>
        <v>171</v>
      </c>
      <c r="D255" s="911" t="str">
        <f>'Marketing SoA'!C176</f>
        <v>Flat</v>
      </c>
      <c r="E255" s="911" t="str">
        <f>'Marketing SoA'!D176</f>
        <v>TF F</v>
      </c>
      <c r="F255" s="911">
        <f>'Marketing SoA'!E176</f>
        <v>52.3</v>
      </c>
      <c r="G255" s="953">
        <f>'Marketing SoA'!F176</f>
        <v>562.95196999999996</v>
      </c>
      <c r="H255" s="911" t="str">
        <f>'Marketing SoA'!G176</f>
        <v>1B2P</v>
      </c>
      <c r="I255" s="911">
        <f>'Marketing SoA'!H176</f>
        <v>1</v>
      </c>
      <c r="J255" s="911" t="str">
        <f>'Marketing SoA'!I176</f>
        <v>-</v>
      </c>
      <c r="K255" s="911" t="str">
        <f>'Marketing SoA'!J176</f>
        <v>On-site within MSCP</v>
      </c>
      <c r="L255" s="911" t="str">
        <f>'Marketing SoA'!K176</f>
        <v>Community Amenity</v>
      </c>
      <c r="M255" s="920" t="str">
        <f>'Marketing SoA'!L176</f>
        <v>-</v>
      </c>
      <c r="O255" s="1191"/>
      <c r="P255" s="1192"/>
      <c r="Q255" s="1192"/>
      <c r="R255" s="1192"/>
      <c r="S255" s="1193"/>
    </row>
    <row r="256" spans="1:19" ht="30" x14ac:dyDescent="0.25">
      <c r="A256" s="1276"/>
      <c r="B256" s="1243"/>
      <c r="C256" s="911">
        <f>'Marketing SoA'!B177</f>
        <v>172</v>
      </c>
      <c r="D256" s="911" t="str">
        <f>'Marketing SoA'!C177</f>
        <v>Flat</v>
      </c>
      <c r="E256" s="911" t="str">
        <f>'Marketing SoA'!D177</f>
        <v>TF F</v>
      </c>
      <c r="F256" s="911">
        <f>'Marketing SoA'!E177</f>
        <v>71.7</v>
      </c>
      <c r="G256" s="953">
        <f>'Marketing SoA'!F177</f>
        <v>771.77162999999996</v>
      </c>
      <c r="H256" s="911" t="str">
        <f>'Marketing SoA'!G177</f>
        <v>2B4P</v>
      </c>
      <c r="I256" s="911">
        <f>'Marketing SoA'!H177</f>
        <v>1</v>
      </c>
      <c r="J256" s="911" t="str">
        <f>'Marketing SoA'!I177</f>
        <v>-</v>
      </c>
      <c r="K256" s="911" t="str">
        <f>'Marketing SoA'!J177</f>
        <v>On-site within MSCP</v>
      </c>
      <c r="L256" s="911" t="str">
        <f>'Marketing SoA'!K177</f>
        <v>Balcony</v>
      </c>
      <c r="M256" s="920">
        <f>'Marketing SoA'!L177</f>
        <v>76</v>
      </c>
      <c r="O256" s="1191"/>
      <c r="P256" s="1192"/>
      <c r="Q256" s="1192"/>
      <c r="R256" s="1192"/>
      <c r="S256" s="1193"/>
    </row>
    <row r="257" spans="1:19" ht="30" x14ac:dyDescent="0.25">
      <c r="A257" s="1276"/>
      <c r="B257" s="1243"/>
      <c r="C257" s="911">
        <f>'Marketing SoA'!B178</f>
        <v>173</v>
      </c>
      <c r="D257" s="911" t="str">
        <f>'Marketing SoA'!C178</f>
        <v>Flat</v>
      </c>
      <c r="E257" s="911" t="str">
        <f>'Marketing SoA'!D178</f>
        <v>4F F</v>
      </c>
      <c r="F257" s="911">
        <f>'Marketing SoA'!E178</f>
        <v>71.7</v>
      </c>
      <c r="G257" s="953">
        <f>'Marketing SoA'!F178</f>
        <v>771.77162999999996</v>
      </c>
      <c r="H257" s="911" t="str">
        <f>'Marketing SoA'!G178</f>
        <v>2B4P</v>
      </c>
      <c r="I257" s="911">
        <f>'Marketing SoA'!H178</f>
        <v>1</v>
      </c>
      <c r="J257" s="911" t="str">
        <f>'Marketing SoA'!I178</f>
        <v>-</v>
      </c>
      <c r="K257" s="911" t="str">
        <f>'Marketing SoA'!J178</f>
        <v>On-site within MSCP</v>
      </c>
      <c r="L257" s="911" t="str">
        <f>'Marketing SoA'!K178</f>
        <v>Balcony</v>
      </c>
      <c r="M257" s="920">
        <f>'Marketing SoA'!L178</f>
        <v>76</v>
      </c>
      <c r="O257" s="1191"/>
      <c r="P257" s="1192"/>
      <c r="Q257" s="1192"/>
      <c r="R257" s="1192"/>
      <c r="S257" s="1193"/>
    </row>
    <row r="258" spans="1:19" ht="30" x14ac:dyDescent="0.25">
      <c r="A258" s="1276"/>
      <c r="B258" s="1243"/>
      <c r="C258" s="911">
        <f>'Marketing SoA'!B179</f>
        <v>174</v>
      </c>
      <c r="D258" s="911" t="str">
        <f>'Marketing SoA'!C179</f>
        <v>Maisonette</v>
      </c>
      <c r="E258" s="911" t="str">
        <f>'Marketing SoA'!D179</f>
        <v>GF M</v>
      </c>
      <c r="F258" s="911">
        <f>'Marketing SoA'!E179</f>
        <v>54.3</v>
      </c>
      <c r="G258" s="953">
        <f>'Marketing SoA'!F179</f>
        <v>584.47976999999992</v>
      </c>
      <c r="H258" s="911" t="str">
        <f>'Marketing SoA'!G179</f>
        <v>1B2P</v>
      </c>
      <c r="I258" s="911">
        <f>'Marketing SoA'!H179</f>
        <v>1</v>
      </c>
      <c r="J258" s="911" t="str">
        <f>'Marketing SoA'!I179</f>
        <v>-</v>
      </c>
      <c r="K258" s="911" t="str">
        <f>'Marketing SoA'!J179</f>
        <v>On-site within MSCP</v>
      </c>
      <c r="L258" s="911" t="str">
        <f>'Marketing SoA'!K179</f>
        <v>Frontage Amenity</v>
      </c>
      <c r="M258" s="920">
        <f>'Marketing SoA'!L179</f>
        <v>83</v>
      </c>
      <c r="O258" s="1191"/>
      <c r="P258" s="1192"/>
      <c r="Q258" s="1192"/>
      <c r="R258" s="1192"/>
      <c r="S258" s="1193"/>
    </row>
    <row r="259" spans="1:19" ht="30" x14ac:dyDescent="0.25">
      <c r="A259" s="1276"/>
      <c r="B259" s="1243"/>
      <c r="C259" s="911">
        <f>'Marketing SoA'!B180</f>
        <v>175</v>
      </c>
      <c r="D259" s="911" t="str">
        <f>'Marketing SoA'!C180</f>
        <v>Flat</v>
      </c>
      <c r="E259" s="911" t="str">
        <f>'Marketing SoA'!D180</f>
        <v>FF F</v>
      </c>
      <c r="F259" s="911">
        <f>'Marketing SoA'!E180</f>
        <v>54.3</v>
      </c>
      <c r="G259" s="953">
        <f>'Marketing SoA'!F180</f>
        <v>584.47976999999992</v>
      </c>
      <c r="H259" s="911" t="str">
        <f>'Marketing SoA'!G180</f>
        <v>1B2P</v>
      </c>
      <c r="I259" s="911">
        <f>'Marketing SoA'!H180</f>
        <v>1</v>
      </c>
      <c r="J259" s="911" t="str">
        <f>'Marketing SoA'!I180</f>
        <v>-</v>
      </c>
      <c r="K259" s="911" t="str">
        <f>'Marketing SoA'!J180</f>
        <v>On-site within MSCP</v>
      </c>
      <c r="L259" s="911" t="str">
        <f>'Marketing SoA'!K180</f>
        <v>Community Amenity</v>
      </c>
      <c r="M259" s="920" t="str">
        <f>'Marketing SoA'!L180</f>
        <v>-</v>
      </c>
      <c r="O259" s="1191"/>
      <c r="P259" s="1192"/>
      <c r="Q259" s="1192"/>
      <c r="R259" s="1192"/>
      <c r="S259" s="1193"/>
    </row>
    <row r="260" spans="1:19" ht="30" x14ac:dyDescent="0.25">
      <c r="A260" s="1276"/>
      <c r="B260" s="1243"/>
      <c r="C260" s="911">
        <f>'Marketing SoA'!B181</f>
        <v>176</v>
      </c>
      <c r="D260" s="911" t="str">
        <f>'Marketing SoA'!C181</f>
        <v>Flat</v>
      </c>
      <c r="E260" s="911" t="str">
        <f>'Marketing SoA'!D181</f>
        <v>FF F</v>
      </c>
      <c r="F260" s="911">
        <f>'Marketing SoA'!E181</f>
        <v>54.7</v>
      </c>
      <c r="G260" s="953">
        <f>'Marketing SoA'!F181</f>
        <v>588.78533000000004</v>
      </c>
      <c r="H260" s="911" t="str">
        <f>'Marketing SoA'!G181</f>
        <v>1B2P</v>
      </c>
      <c r="I260" s="911">
        <f>'Marketing SoA'!H181</f>
        <v>1</v>
      </c>
      <c r="J260" s="911" t="str">
        <f>'Marketing SoA'!I181</f>
        <v>-</v>
      </c>
      <c r="K260" s="911" t="str">
        <f>'Marketing SoA'!J181</f>
        <v>On-site within MSCP</v>
      </c>
      <c r="L260" s="911" t="str">
        <f>'Marketing SoA'!K181</f>
        <v>Balcony</v>
      </c>
      <c r="M260" s="920">
        <f>'Marketing SoA'!L181</f>
        <v>107</v>
      </c>
      <c r="O260" s="1191"/>
      <c r="P260" s="1192"/>
      <c r="Q260" s="1192"/>
      <c r="R260" s="1192"/>
      <c r="S260" s="1193"/>
    </row>
    <row r="261" spans="1:19" ht="30" x14ac:dyDescent="0.25">
      <c r="A261" s="1276"/>
      <c r="B261" s="1243"/>
      <c r="C261" s="911">
        <f>'Marketing SoA'!B182</f>
        <v>177</v>
      </c>
      <c r="D261" s="911" t="str">
        <f>'Marketing SoA'!C182</f>
        <v>Flat</v>
      </c>
      <c r="E261" s="911" t="str">
        <f>'Marketing SoA'!D182</f>
        <v>SF F</v>
      </c>
      <c r="F261" s="911">
        <f>'Marketing SoA'!E182</f>
        <v>54.3</v>
      </c>
      <c r="G261" s="953">
        <f>'Marketing SoA'!F182</f>
        <v>584.47976999999992</v>
      </c>
      <c r="H261" s="911" t="str">
        <f>'Marketing SoA'!G182</f>
        <v>1B2P</v>
      </c>
      <c r="I261" s="911">
        <f>'Marketing SoA'!H182</f>
        <v>1</v>
      </c>
      <c r="J261" s="911" t="str">
        <f>'Marketing SoA'!I182</f>
        <v>-</v>
      </c>
      <c r="K261" s="911" t="str">
        <f>'Marketing SoA'!J182</f>
        <v>On-site within MSCP</v>
      </c>
      <c r="L261" s="911" t="str">
        <f>'Marketing SoA'!K182</f>
        <v>Community Amenity</v>
      </c>
      <c r="M261" s="920" t="str">
        <f>'Marketing SoA'!L182</f>
        <v>-</v>
      </c>
      <c r="O261" s="1191"/>
      <c r="P261" s="1192"/>
      <c r="Q261" s="1192"/>
      <c r="R261" s="1192"/>
      <c r="S261" s="1193"/>
    </row>
    <row r="262" spans="1:19" ht="30" x14ac:dyDescent="0.25">
      <c r="A262" s="1276"/>
      <c r="B262" s="1243"/>
      <c r="C262" s="911">
        <f>'Marketing SoA'!B183</f>
        <v>178</v>
      </c>
      <c r="D262" s="911" t="str">
        <f>'Marketing SoA'!C183</f>
        <v>Flat</v>
      </c>
      <c r="E262" s="911" t="str">
        <f>'Marketing SoA'!D183</f>
        <v>SF F</v>
      </c>
      <c r="F262" s="911">
        <f>'Marketing SoA'!E183</f>
        <v>54.7</v>
      </c>
      <c r="G262" s="953">
        <f>'Marketing SoA'!F183</f>
        <v>588.78533000000004</v>
      </c>
      <c r="H262" s="911" t="str">
        <f>'Marketing SoA'!G183</f>
        <v>1B2P</v>
      </c>
      <c r="I262" s="911">
        <f>'Marketing SoA'!H183</f>
        <v>1</v>
      </c>
      <c r="J262" s="911" t="str">
        <f>'Marketing SoA'!I183</f>
        <v>-</v>
      </c>
      <c r="K262" s="911" t="str">
        <f>'Marketing SoA'!J183</f>
        <v>On-site within MSCP</v>
      </c>
      <c r="L262" s="911" t="str">
        <f>'Marketing SoA'!K183</f>
        <v>Balcony</v>
      </c>
      <c r="M262" s="920">
        <f>'Marketing SoA'!L183</f>
        <v>107</v>
      </c>
      <c r="O262" s="1191"/>
      <c r="P262" s="1192"/>
      <c r="Q262" s="1192"/>
      <c r="R262" s="1192"/>
      <c r="S262" s="1193"/>
    </row>
    <row r="263" spans="1:19" ht="30" x14ac:dyDescent="0.25">
      <c r="A263" s="1276"/>
      <c r="B263" s="1243"/>
      <c r="C263" s="911">
        <f>'Marketing SoA'!B184</f>
        <v>179</v>
      </c>
      <c r="D263" s="911" t="str">
        <f>'Marketing SoA'!C184</f>
        <v>Flat</v>
      </c>
      <c r="E263" s="911" t="str">
        <f>'Marketing SoA'!D184</f>
        <v>TF F</v>
      </c>
      <c r="F263" s="911">
        <f>'Marketing SoA'!E184</f>
        <v>54.3</v>
      </c>
      <c r="G263" s="953">
        <f>'Marketing SoA'!F184</f>
        <v>584.47976999999992</v>
      </c>
      <c r="H263" s="911" t="str">
        <f>'Marketing SoA'!G184</f>
        <v>1B2P</v>
      </c>
      <c r="I263" s="911">
        <f>'Marketing SoA'!H184</f>
        <v>1</v>
      </c>
      <c r="J263" s="911" t="str">
        <f>'Marketing SoA'!I184</f>
        <v>-</v>
      </c>
      <c r="K263" s="911" t="str">
        <f>'Marketing SoA'!J184</f>
        <v>On-site within MSCP</v>
      </c>
      <c r="L263" s="911" t="str">
        <f>'Marketing SoA'!K184</f>
        <v>Community Amenity</v>
      </c>
      <c r="M263" s="920" t="str">
        <f>'Marketing SoA'!L184</f>
        <v>-</v>
      </c>
      <c r="O263" s="1191"/>
      <c r="P263" s="1192"/>
      <c r="Q263" s="1192"/>
      <c r="R263" s="1192"/>
      <c r="S263" s="1193"/>
    </row>
    <row r="264" spans="1:19" ht="30" x14ac:dyDescent="0.25">
      <c r="A264" s="1276"/>
      <c r="B264" s="1243"/>
      <c r="C264" s="911">
        <f>'Marketing SoA'!B185</f>
        <v>180</v>
      </c>
      <c r="D264" s="911" t="str">
        <f>'Marketing SoA'!C185</f>
        <v>Flat</v>
      </c>
      <c r="E264" s="911" t="str">
        <f>'Marketing SoA'!D185</f>
        <v>TF F</v>
      </c>
      <c r="F264" s="911">
        <f>'Marketing SoA'!E185</f>
        <v>54.7</v>
      </c>
      <c r="G264" s="953">
        <f>'Marketing SoA'!F185</f>
        <v>588.78533000000004</v>
      </c>
      <c r="H264" s="911" t="str">
        <f>'Marketing SoA'!G185</f>
        <v>1B2P</v>
      </c>
      <c r="I264" s="911">
        <f>'Marketing SoA'!H185</f>
        <v>1</v>
      </c>
      <c r="J264" s="911" t="str">
        <f>'Marketing SoA'!I185</f>
        <v>-</v>
      </c>
      <c r="K264" s="911" t="str">
        <f>'Marketing SoA'!J185</f>
        <v>On-site within MSCP</v>
      </c>
      <c r="L264" s="911" t="str">
        <f>'Marketing SoA'!K185</f>
        <v>Community Amenity</v>
      </c>
      <c r="M264" s="920">
        <f>'Marketing SoA'!L185</f>
        <v>107</v>
      </c>
      <c r="O264" s="1191"/>
      <c r="P264" s="1192"/>
      <c r="Q264" s="1192"/>
      <c r="R264" s="1192"/>
      <c r="S264" s="1193"/>
    </row>
    <row r="265" spans="1:19" ht="30" x14ac:dyDescent="0.25">
      <c r="A265" s="1276"/>
      <c r="B265" s="1243"/>
      <c r="C265" s="911">
        <f>'Marketing SoA'!B186</f>
        <v>181</v>
      </c>
      <c r="D265" s="911" t="str">
        <f>'Marketing SoA'!C186</f>
        <v>Flat</v>
      </c>
      <c r="E265" s="911" t="str">
        <f>'Marketing SoA'!D186</f>
        <v>4F F</v>
      </c>
      <c r="F265" s="911">
        <f>'Marketing SoA'!E186</f>
        <v>54.7</v>
      </c>
      <c r="G265" s="953">
        <f>'Marketing SoA'!F186</f>
        <v>588.78533000000004</v>
      </c>
      <c r="H265" s="911" t="str">
        <f>'Marketing SoA'!G186</f>
        <v>1B2P</v>
      </c>
      <c r="I265" s="911">
        <f>'Marketing SoA'!H186</f>
        <v>1</v>
      </c>
      <c r="J265" s="911" t="str">
        <f>'Marketing SoA'!I186</f>
        <v>-</v>
      </c>
      <c r="K265" s="911" t="str">
        <f>'Marketing SoA'!J186</f>
        <v>On-site within MSCP</v>
      </c>
      <c r="L265" s="911" t="str">
        <f>'Marketing SoA'!K186</f>
        <v>Balcony</v>
      </c>
      <c r="M265" s="920">
        <f>'Marketing SoA'!L186</f>
        <v>107</v>
      </c>
      <c r="O265" s="1191"/>
      <c r="P265" s="1192"/>
      <c r="Q265" s="1192"/>
      <c r="R265" s="1192"/>
      <c r="S265" s="1193"/>
    </row>
    <row r="266" spans="1:19" ht="30" x14ac:dyDescent="0.25">
      <c r="A266" s="1276"/>
      <c r="B266" s="1243"/>
      <c r="C266" s="911">
        <f>'Marketing SoA'!B187</f>
        <v>182</v>
      </c>
      <c r="D266" s="911" t="str">
        <f>'Marketing SoA'!C187</f>
        <v>Maisonette</v>
      </c>
      <c r="E266" s="911" t="str">
        <f>'Marketing SoA'!D187</f>
        <v>GF M</v>
      </c>
      <c r="F266" s="911">
        <f>'Marketing SoA'!E187</f>
        <v>54.7</v>
      </c>
      <c r="G266" s="953">
        <f>'Marketing SoA'!F187</f>
        <v>588.78533000000004</v>
      </c>
      <c r="H266" s="911" t="str">
        <f>'Marketing SoA'!G187</f>
        <v>1B2P</v>
      </c>
      <c r="I266" s="911">
        <f>'Marketing SoA'!H187</f>
        <v>1</v>
      </c>
      <c r="J266" s="911" t="str">
        <f>'Marketing SoA'!I187</f>
        <v>-</v>
      </c>
      <c r="K266" s="911" t="str">
        <f>'Marketing SoA'!J187</f>
        <v>On-site within MSCP</v>
      </c>
      <c r="L266" s="911" t="str">
        <f>'Marketing SoA'!K187</f>
        <v>Private Front Garden</v>
      </c>
      <c r="M266" s="920">
        <f>'Marketing SoA'!L187</f>
        <v>172</v>
      </c>
      <c r="O266" s="1191"/>
      <c r="P266" s="1192"/>
      <c r="Q266" s="1192"/>
      <c r="R266" s="1192"/>
      <c r="S266" s="1193"/>
    </row>
    <row r="267" spans="1:19" ht="45" x14ac:dyDescent="0.25">
      <c r="A267" s="1276"/>
      <c r="B267" s="1243"/>
      <c r="C267" s="911">
        <f>'Marketing SoA'!B188</f>
        <v>183</v>
      </c>
      <c r="D267" s="911" t="str">
        <f>'Marketing SoA'!C188</f>
        <v>Duplex Maisonette</v>
      </c>
      <c r="E267" s="911" t="str">
        <f>'Marketing SoA'!D188</f>
        <v>GF DM</v>
      </c>
      <c r="F267" s="911">
        <f>'Marketing SoA'!E188</f>
        <v>93.1</v>
      </c>
      <c r="G267" s="953">
        <f>'Marketing SoA'!F188</f>
        <v>1002.1190899999999</v>
      </c>
      <c r="H267" s="911" t="str">
        <f>'Marketing SoA'!G188</f>
        <v>3B4P</v>
      </c>
      <c r="I267" s="911">
        <f>'Marketing SoA'!H188</f>
        <v>2</v>
      </c>
      <c r="J267" s="911" t="str">
        <f>'Marketing SoA'!I188</f>
        <v>-</v>
      </c>
      <c r="K267" s="911" t="str">
        <f>'Marketing SoA'!J188</f>
        <v>On-plot Allocated Parking</v>
      </c>
      <c r="L267" s="911" t="str">
        <f>'Marketing SoA'!K188</f>
        <v>Community Amenity</v>
      </c>
      <c r="M267" s="920" t="str">
        <f>'Marketing SoA'!L188</f>
        <v>-</v>
      </c>
      <c r="O267" s="1191"/>
      <c r="P267" s="1192"/>
      <c r="Q267" s="1192"/>
      <c r="R267" s="1192"/>
      <c r="S267" s="1193"/>
    </row>
    <row r="268" spans="1:19" ht="30" x14ac:dyDescent="0.25">
      <c r="A268" s="1276"/>
      <c r="B268" s="1243"/>
      <c r="C268" s="911">
        <f>'Marketing SoA'!B189</f>
        <v>184</v>
      </c>
      <c r="D268" s="911" t="str">
        <f>'Marketing SoA'!C189</f>
        <v>Flat</v>
      </c>
      <c r="E268" s="911" t="str">
        <f>'Marketing SoA'!D189</f>
        <v>FF F</v>
      </c>
      <c r="F268" s="911">
        <f>'Marketing SoA'!E189</f>
        <v>49.9</v>
      </c>
      <c r="G268" s="953">
        <f>'Marketing SoA'!F189</f>
        <v>537.11860999999999</v>
      </c>
      <c r="H268" s="911" t="str">
        <f>'Marketing SoA'!G189</f>
        <v>1B2P</v>
      </c>
      <c r="I268" s="911">
        <f>'Marketing SoA'!H189</f>
        <v>1</v>
      </c>
      <c r="J268" s="911" t="str">
        <f>'Marketing SoA'!I189</f>
        <v>-</v>
      </c>
      <c r="K268" s="911" t="str">
        <f>'Marketing SoA'!J189</f>
        <v>On-site within MSCP</v>
      </c>
      <c r="L268" s="911" t="str">
        <f>'Marketing SoA'!K189</f>
        <v>Community Amenity</v>
      </c>
      <c r="M268" s="920" t="str">
        <f>'Marketing SoA'!L189</f>
        <v>-</v>
      </c>
      <c r="O268" s="1191"/>
      <c r="P268" s="1192"/>
      <c r="Q268" s="1192"/>
      <c r="R268" s="1192"/>
      <c r="S268" s="1193"/>
    </row>
    <row r="269" spans="1:19" ht="30" x14ac:dyDescent="0.25">
      <c r="A269" s="1276"/>
      <c r="B269" s="1243"/>
      <c r="C269" s="911">
        <f>'Marketing SoA'!B190</f>
        <v>185</v>
      </c>
      <c r="D269" s="911" t="str">
        <f>'Marketing SoA'!C190</f>
        <v>Flat</v>
      </c>
      <c r="E269" s="911" t="str">
        <f>'Marketing SoA'!D190</f>
        <v>FF F</v>
      </c>
      <c r="F269" s="911">
        <f>'Marketing SoA'!E190</f>
        <v>51.7</v>
      </c>
      <c r="G269" s="953">
        <f>'Marketing SoA'!F190</f>
        <v>556.49363000000005</v>
      </c>
      <c r="H269" s="911" t="str">
        <f>'Marketing SoA'!G190</f>
        <v>1B2P</v>
      </c>
      <c r="I269" s="911">
        <f>'Marketing SoA'!H190</f>
        <v>1</v>
      </c>
      <c r="J269" s="911" t="str">
        <f>'Marketing SoA'!I190</f>
        <v>-</v>
      </c>
      <c r="K269" s="911" t="str">
        <f>'Marketing SoA'!J190</f>
        <v>On-site within MSCP</v>
      </c>
      <c r="L269" s="911" t="str">
        <f>'Marketing SoA'!K190</f>
        <v>Community Amenity</v>
      </c>
      <c r="M269" s="920" t="str">
        <f>'Marketing SoA'!L190</f>
        <v>-</v>
      </c>
      <c r="O269" s="1191"/>
      <c r="P269" s="1192"/>
      <c r="Q269" s="1192"/>
      <c r="R269" s="1192"/>
      <c r="S269" s="1193"/>
    </row>
    <row r="270" spans="1:19" ht="30" x14ac:dyDescent="0.25">
      <c r="A270" s="1276"/>
      <c r="B270" s="1243"/>
      <c r="C270" s="911">
        <f>'Marketing SoA'!B191</f>
        <v>186</v>
      </c>
      <c r="D270" s="911" t="str">
        <f>'Marketing SoA'!C191</f>
        <v>Flat</v>
      </c>
      <c r="E270" s="911" t="str">
        <f>'Marketing SoA'!D191</f>
        <v>FF F</v>
      </c>
      <c r="F270" s="911">
        <f>'Marketing SoA'!E191</f>
        <v>50.2</v>
      </c>
      <c r="G270" s="953">
        <f>'Marketing SoA'!F191</f>
        <v>540.34778000000006</v>
      </c>
      <c r="H270" s="911" t="str">
        <f>'Marketing SoA'!G191</f>
        <v>1B2P</v>
      </c>
      <c r="I270" s="911">
        <f>'Marketing SoA'!H191</f>
        <v>1</v>
      </c>
      <c r="J270" s="911" t="str">
        <f>'Marketing SoA'!I191</f>
        <v>-</v>
      </c>
      <c r="K270" s="911" t="str">
        <f>'Marketing SoA'!J191</f>
        <v>On-site within MSCP</v>
      </c>
      <c r="L270" s="911" t="str">
        <f>'Marketing SoA'!K191</f>
        <v>Community Amenity</v>
      </c>
      <c r="M270" s="920" t="str">
        <f>'Marketing SoA'!L191</f>
        <v>-</v>
      </c>
      <c r="O270" s="1191"/>
      <c r="P270" s="1192"/>
      <c r="Q270" s="1192"/>
      <c r="R270" s="1192"/>
      <c r="S270" s="1193"/>
    </row>
    <row r="271" spans="1:19" ht="30" x14ac:dyDescent="0.25">
      <c r="A271" s="1276"/>
      <c r="B271" s="1243"/>
      <c r="C271" s="911">
        <f>'Marketing SoA'!B192</f>
        <v>187</v>
      </c>
      <c r="D271" s="911" t="str">
        <f>'Marketing SoA'!C192</f>
        <v>Flat</v>
      </c>
      <c r="E271" s="911" t="str">
        <f>'Marketing SoA'!D192</f>
        <v>FF F</v>
      </c>
      <c r="F271" s="911">
        <f>'Marketing SoA'!E192</f>
        <v>53.6</v>
      </c>
      <c r="G271" s="953">
        <f>'Marketing SoA'!F192</f>
        <v>576.94503999999995</v>
      </c>
      <c r="H271" s="911" t="str">
        <f>'Marketing SoA'!G192</f>
        <v>1B2P</v>
      </c>
      <c r="I271" s="911">
        <f>'Marketing SoA'!H192</f>
        <v>1</v>
      </c>
      <c r="J271" s="911" t="str">
        <f>'Marketing SoA'!I192</f>
        <v>-</v>
      </c>
      <c r="K271" s="911" t="str">
        <f>'Marketing SoA'!J192</f>
        <v>On-site within MSCP</v>
      </c>
      <c r="L271" s="911" t="str">
        <f>'Marketing SoA'!K192</f>
        <v>Balcony</v>
      </c>
      <c r="M271" s="920">
        <f>'Marketing SoA'!L192</f>
        <v>121</v>
      </c>
      <c r="O271" s="1191"/>
      <c r="P271" s="1192"/>
      <c r="Q271" s="1192"/>
      <c r="R271" s="1192"/>
      <c r="S271" s="1193"/>
    </row>
    <row r="272" spans="1:19" ht="30" x14ac:dyDescent="0.25">
      <c r="A272" s="1276"/>
      <c r="B272" s="1243"/>
      <c r="C272" s="911">
        <f>'Marketing SoA'!B193</f>
        <v>188</v>
      </c>
      <c r="D272" s="911" t="str">
        <f>'Marketing SoA'!C193</f>
        <v>Flat</v>
      </c>
      <c r="E272" s="911" t="str">
        <f>'Marketing SoA'!D193</f>
        <v>FF F</v>
      </c>
      <c r="F272" s="911">
        <f>'Marketing SoA'!E193</f>
        <v>50.1</v>
      </c>
      <c r="G272" s="953">
        <f>'Marketing SoA'!F193</f>
        <v>539.27139</v>
      </c>
      <c r="H272" s="911" t="str">
        <f>'Marketing SoA'!G193</f>
        <v>1B2P</v>
      </c>
      <c r="I272" s="911">
        <f>'Marketing SoA'!H193</f>
        <v>1</v>
      </c>
      <c r="J272" s="911" t="str">
        <f>'Marketing SoA'!I193</f>
        <v>-</v>
      </c>
      <c r="K272" s="911" t="str">
        <f>'Marketing SoA'!J193</f>
        <v>On-site within MSCP</v>
      </c>
      <c r="L272" s="911" t="str">
        <f>'Marketing SoA'!K193</f>
        <v>Community Amenity</v>
      </c>
      <c r="M272" s="920" t="str">
        <f>'Marketing SoA'!L193</f>
        <v>-</v>
      </c>
      <c r="O272" s="1191"/>
      <c r="P272" s="1192"/>
      <c r="Q272" s="1192"/>
      <c r="R272" s="1192"/>
      <c r="S272" s="1193"/>
    </row>
    <row r="273" spans="1:19" ht="30" x14ac:dyDescent="0.25">
      <c r="A273" s="1276"/>
      <c r="B273" s="1243"/>
      <c r="C273" s="911">
        <f>'Marketing SoA'!B194</f>
        <v>189</v>
      </c>
      <c r="D273" s="911" t="str">
        <f>'Marketing SoA'!C194</f>
        <v>Flat</v>
      </c>
      <c r="E273" s="911" t="str">
        <f>'Marketing SoA'!D194</f>
        <v>FF F</v>
      </c>
      <c r="F273" s="911">
        <f>'Marketing SoA'!E194</f>
        <v>40.5</v>
      </c>
      <c r="G273" s="953">
        <f>'Marketing SoA'!F194</f>
        <v>435.93795</v>
      </c>
      <c r="H273" s="911" t="str">
        <f>'Marketing SoA'!G194</f>
        <v>1B2P</v>
      </c>
      <c r="I273" s="911">
        <f>'Marketing SoA'!H194</f>
        <v>1</v>
      </c>
      <c r="J273" s="911" t="str">
        <f>'Marketing SoA'!I194</f>
        <v>-</v>
      </c>
      <c r="K273" s="911" t="str">
        <f>'Marketing SoA'!J194</f>
        <v>On-site within MSCP</v>
      </c>
      <c r="L273" s="911" t="str">
        <f>'Marketing SoA'!K194</f>
        <v>Community Amenity</v>
      </c>
      <c r="M273" s="920" t="str">
        <f>'Marketing SoA'!L194</f>
        <v>-</v>
      </c>
      <c r="O273" s="1191"/>
      <c r="P273" s="1192"/>
      <c r="Q273" s="1192"/>
      <c r="R273" s="1192"/>
      <c r="S273" s="1193"/>
    </row>
    <row r="274" spans="1:19" ht="30" x14ac:dyDescent="0.25">
      <c r="A274" s="1276"/>
      <c r="B274" s="1243"/>
      <c r="C274" s="911">
        <f>'Marketing SoA'!B195</f>
        <v>190</v>
      </c>
      <c r="D274" s="911" t="str">
        <f>'Marketing SoA'!C195</f>
        <v>Flat</v>
      </c>
      <c r="E274" s="911" t="str">
        <f>'Marketing SoA'!D195</f>
        <v>FF F</v>
      </c>
      <c r="F274" s="911">
        <f>'Marketing SoA'!E195</f>
        <v>40.5</v>
      </c>
      <c r="G274" s="953">
        <f>'Marketing SoA'!F195</f>
        <v>435.93795</v>
      </c>
      <c r="H274" s="911" t="str">
        <f>'Marketing SoA'!G195</f>
        <v>1B2P</v>
      </c>
      <c r="I274" s="911">
        <f>'Marketing SoA'!H195</f>
        <v>1</v>
      </c>
      <c r="J274" s="911" t="str">
        <f>'Marketing SoA'!I195</f>
        <v>-</v>
      </c>
      <c r="K274" s="911" t="str">
        <f>'Marketing SoA'!J195</f>
        <v>On-site within MSCP</v>
      </c>
      <c r="L274" s="911" t="str">
        <f>'Marketing SoA'!K195</f>
        <v>Community Amenity</v>
      </c>
      <c r="M274" s="920" t="str">
        <f>'Marketing SoA'!L195</f>
        <v>-</v>
      </c>
      <c r="O274" s="1191"/>
      <c r="P274" s="1192"/>
      <c r="Q274" s="1192"/>
      <c r="R274" s="1192"/>
      <c r="S274" s="1193"/>
    </row>
    <row r="275" spans="1:19" ht="30" x14ac:dyDescent="0.25">
      <c r="A275" s="1276"/>
      <c r="B275" s="1243"/>
      <c r="C275" s="911">
        <f>'Marketing SoA'!B196</f>
        <v>191</v>
      </c>
      <c r="D275" s="911" t="str">
        <f>'Marketing SoA'!C196</f>
        <v>Flat</v>
      </c>
      <c r="E275" s="911" t="str">
        <f>'Marketing SoA'!D196</f>
        <v>FF F</v>
      </c>
      <c r="F275" s="911">
        <f>'Marketing SoA'!E196</f>
        <v>40.5</v>
      </c>
      <c r="G275" s="953">
        <f>'Marketing SoA'!F196</f>
        <v>435.93795</v>
      </c>
      <c r="H275" s="911" t="str">
        <f>'Marketing SoA'!G196</f>
        <v>1B2P</v>
      </c>
      <c r="I275" s="911">
        <f>'Marketing SoA'!H196</f>
        <v>1</v>
      </c>
      <c r="J275" s="911" t="str">
        <f>'Marketing SoA'!I196</f>
        <v>-</v>
      </c>
      <c r="K275" s="911" t="str">
        <f>'Marketing SoA'!J196</f>
        <v>On-site within MSCP</v>
      </c>
      <c r="L275" s="911" t="str">
        <f>'Marketing SoA'!K196</f>
        <v>Community Amenity</v>
      </c>
      <c r="M275" s="920" t="str">
        <f>'Marketing SoA'!L196</f>
        <v>-</v>
      </c>
      <c r="O275" s="1191"/>
      <c r="P275" s="1192"/>
      <c r="Q275" s="1192"/>
      <c r="R275" s="1192"/>
      <c r="S275" s="1193"/>
    </row>
    <row r="276" spans="1:19" ht="30" x14ac:dyDescent="0.25">
      <c r="A276" s="1276"/>
      <c r="B276" s="1243"/>
      <c r="C276" s="911">
        <f>'Marketing SoA'!B197</f>
        <v>192</v>
      </c>
      <c r="D276" s="911" t="str">
        <f>'Marketing SoA'!C197</f>
        <v>Flat</v>
      </c>
      <c r="E276" s="911" t="str">
        <f>'Marketing SoA'!D197</f>
        <v>FF F</v>
      </c>
      <c r="F276" s="911">
        <f>'Marketing SoA'!E197</f>
        <v>40.5</v>
      </c>
      <c r="G276" s="953">
        <f>'Marketing SoA'!F197</f>
        <v>435.93795</v>
      </c>
      <c r="H276" s="911" t="str">
        <f>'Marketing SoA'!G197</f>
        <v>1B2P</v>
      </c>
      <c r="I276" s="911">
        <f>'Marketing SoA'!H197</f>
        <v>1</v>
      </c>
      <c r="J276" s="911" t="str">
        <f>'Marketing SoA'!I197</f>
        <v>-</v>
      </c>
      <c r="K276" s="911" t="str">
        <f>'Marketing SoA'!J197</f>
        <v>On-site within MSCP</v>
      </c>
      <c r="L276" s="911" t="str">
        <f>'Marketing SoA'!K197</f>
        <v>Community Amenity</v>
      </c>
      <c r="M276" s="920" t="str">
        <f>'Marketing SoA'!L197</f>
        <v>-</v>
      </c>
      <c r="O276" s="1191"/>
      <c r="P276" s="1192"/>
      <c r="Q276" s="1192"/>
      <c r="R276" s="1192"/>
      <c r="S276" s="1193"/>
    </row>
    <row r="277" spans="1:19" ht="30" x14ac:dyDescent="0.25">
      <c r="A277" s="1276"/>
      <c r="B277" s="1243"/>
      <c r="C277" s="911">
        <f>'Marketing SoA'!B198</f>
        <v>193</v>
      </c>
      <c r="D277" s="911" t="str">
        <f>'Marketing SoA'!C198</f>
        <v>Flat</v>
      </c>
      <c r="E277" s="911" t="str">
        <f>'Marketing SoA'!D198</f>
        <v>FF F</v>
      </c>
      <c r="F277" s="911">
        <f>'Marketing SoA'!E198</f>
        <v>40.5</v>
      </c>
      <c r="G277" s="953">
        <f>'Marketing SoA'!F198</f>
        <v>435.93795</v>
      </c>
      <c r="H277" s="911" t="str">
        <f>'Marketing SoA'!G198</f>
        <v>1B2P</v>
      </c>
      <c r="I277" s="911">
        <f>'Marketing SoA'!H198</f>
        <v>1</v>
      </c>
      <c r="J277" s="911" t="str">
        <f>'Marketing SoA'!I198</f>
        <v>-</v>
      </c>
      <c r="K277" s="911" t="str">
        <f>'Marketing SoA'!J198</f>
        <v>On-site within MSCP</v>
      </c>
      <c r="L277" s="911" t="str">
        <f>'Marketing SoA'!K198</f>
        <v>Community Amenity</v>
      </c>
      <c r="M277" s="920" t="str">
        <f>'Marketing SoA'!L198</f>
        <v>-</v>
      </c>
      <c r="O277" s="1191"/>
      <c r="P277" s="1192"/>
      <c r="Q277" s="1192"/>
      <c r="R277" s="1192"/>
      <c r="S277" s="1193"/>
    </row>
    <row r="278" spans="1:19" ht="30" x14ac:dyDescent="0.25">
      <c r="A278" s="1276"/>
      <c r="B278" s="1243"/>
      <c r="C278" s="911">
        <f>'Marketing SoA'!B199</f>
        <v>194</v>
      </c>
      <c r="D278" s="911" t="str">
        <f>'Marketing SoA'!C199</f>
        <v>Flat</v>
      </c>
      <c r="E278" s="911" t="str">
        <f>'Marketing SoA'!D199</f>
        <v>SF F</v>
      </c>
      <c r="F278" s="911">
        <f>'Marketing SoA'!E199</f>
        <v>73.5</v>
      </c>
      <c r="G278" s="953">
        <f>'Marketing SoA'!F199</f>
        <v>791.14665000000002</v>
      </c>
      <c r="H278" s="911" t="str">
        <f>'Marketing SoA'!G199</f>
        <v>1B2P</v>
      </c>
      <c r="I278" s="911">
        <f>'Marketing SoA'!H199</f>
        <v>1</v>
      </c>
      <c r="J278" s="911" t="str">
        <f>'Marketing SoA'!I199</f>
        <v>-</v>
      </c>
      <c r="K278" s="911" t="str">
        <f>'Marketing SoA'!J199</f>
        <v>On-site within MSCP</v>
      </c>
      <c r="L278" s="911" t="str">
        <f>'Marketing SoA'!K199</f>
        <v>Community Amenity</v>
      </c>
      <c r="M278" s="920" t="str">
        <f>'Marketing SoA'!L199</f>
        <v>-</v>
      </c>
      <c r="O278" s="1191"/>
      <c r="P278" s="1192"/>
      <c r="Q278" s="1192"/>
      <c r="R278" s="1192"/>
      <c r="S278" s="1193"/>
    </row>
    <row r="279" spans="1:19" ht="30" x14ac:dyDescent="0.25">
      <c r="A279" s="1276"/>
      <c r="B279" s="1243"/>
      <c r="C279" s="911">
        <f>'Marketing SoA'!B200</f>
        <v>195</v>
      </c>
      <c r="D279" s="911" t="str">
        <f>'Marketing SoA'!C200</f>
        <v>Flat</v>
      </c>
      <c r="E279" s="911" t="str">
        <f>'Marketing SoA'!D200</f>
        <v>SF F</v>
      </c>
      <c r="F279" s="911">
        <f>'Marketing SoA'!E200</f>
        <v>49.9</v>
      </c>
      <c r="G279" s="953">
        <f>'Marketing SoA'!F200</f>
        <v>537.11860999999999</v>
      </c>
      <c r="H279" s="911" t="str">
        <f>'Marketing SoA'!G200</f>
        <v>1B2P</v>
      </c>
      <c r="I279" s="911">
        <f>'Marketing SoA'!H200</f>
        <v>1</v>
      </c>
      <c r="J279" s="911" t="str">
        <f>'Marketing SoA'!I200</f>
        <v>-</v>
      </c>
      <c r="K279" s="911" t="str">
        <f>'Marketing SoA'!J200</f>
        <v>On-site within MSCP</v>
      </c>
      <c r="L279" s="911" t="str">
        <f>'Marketing SoA'!K200</f>
        <v>Community Amenity</v>
      </c>
      <c r="M279" s="920" t="str">
        <f>'Marketing SoA'!L200</f>
        <v>-</v>
      </c>
      <c r="O279" s="1191"/>
      <c r="P279" s="1192"/>
      <c r="Q279" s="1192"/>
      <c r="R279" s="1192"/>
      <c r="S279" s="1193"/>
    </row>
    <row r="280" spans="1:19" ht="30" x14ac:dyDescent="0.25">
      <c r="A280" s="1276"/>
      <c r="B280" s="1243"/>
      <c r="C280" s="911">
        <f>'Marketing SoA'!B201</f>
        <v>196</v>
      </c>
      <c r="D280" s="911" t="str">
        <f>'Marketing SoA'!C201</f>
        <v>Flat</v>
      </c>
      <c r="E280" s="911" t="str">
        <f>'Marketing SoA'!D201</f>
        <v>SF F</v>
      </c>
      <c r="F280" s="911">
        <f>'Marketing SoA'!E201</f>
        <v>51.7</v>
      </c>
      <c r="G280" s="953">
        <f>'Marketing SoA'!F201</f>
        <v>556.49363000000005</v>
      </c>
      <c r="H280" s="911" t="str">
        <f>'Marketing SoA'!G201</f>
        <v>1B2P</v>
      </c>
      <c r="I280" s="911">
        <f>'Marketing SoA'!H201</f>
        <v>1</v>
      </c>
      <c r="J280" s="911" t="str">
        <f>'Marketing SoA'!I201</f>
        <v>-</v>
      </c>
      <c r="K280" s="911" t="str">
        <f>'Marketing SoA'!J201</f>
        <v>On-site within MSCP</v>
      </c>
      <c r="L280" s="911" t="str">
        <f>'Marketing SoA'!K201</f>
        <v>Community Amenity</v>
      </c>
      <c r="M280" s="920" t="str">
        <f>'Marketing SoA'!L201</f>
        <v>-</v>
      </c>
      <c r="O280" s="1191"/>
      <c r="P280" s="1192"/>
      <c r="Q280" s="1192"/>
      <c r="R280" s="1192"/>
      <c r="S280" s="1193"/>
    </row>
    <row r="281" spans="1:19" ht="30" x14ac:dyDescent="0.25">
      <c r="A281" s="1276"/>
      <c r="B281" s="1243"/>
      <c r="C281" s="911">
        <f>'Marketing SoA'!B202</f>
        <v>197</v>
      </c>
      <c r="D281" s="911" t="str">
        <f>'Marketing SoA'!C202</f>
        <v>Flat</v>
      </c>
      <c r="E281" s="911" t="str">
        <f>'Marketing SoA'!D202</f>
        <v>SF F</v>
      </c>
      <c r="F281" s="911">
        <f>'Marketing SoA'!E202</f>
        <v>50.2</v>
      </c>
      <c r="G281" s="953">
        <f>'Marketing SoA'!F202</f>
        <v>540.34778000000006</v>
      </c>
      <c r="H281" s="911" t="str">
        <f>'Marketing SoA'!G202</f>
        <v>1B2P</v>
      </c>
      <c r="I281" s="911">
        <f>'Marketing SoA'!H202</f>
        <v>1</v>
      </c>
      <c r="J281" s="911" t="str">
        <f>'Marketing SoA'!I202</f>
        <v>-</v>
      </c>
      <c r="K281" s="911" t="str">
        <f>'Marketing SoA'!J202</f>
        <v>On-site within MSCP</v>
      </c>
      <c r="L281" s="911" t="str">
        <f>'Marketing SoA'!K202</f>
        <v>Community Amenity</v>
      </c>
      <c r="M281" s="920" t="str">
        <f>'Marketing SoA'!L202</f>
        <v>-</v>
      </c>
      <c r="O281" s="1191"/>
      <c r="P281" s="1192"/>
      <c r="Q281" s="1192"/>
      <c r="R281" s="1192"/>
      <c r="S281" s="1193"/>
    </row>
    <row r="282" spans="1:19" ht="30" x14ac:dyDescent="0.25">
      <c r="A282" s="1276"/>
      <c r="B282" s="1243"/>
      <c r="C282" s="911">
        <f>'Marketing SoA'!B203</f>
        <v>198</v>
      </c>
      <c r="D282" s="911" t="str">
        <f>'Marketing SoA'!C203</f>
        <v>Flat</v>
      </c>
      <c r="E282" s="911" t="str">
        <f>'Marketing SoA'!D203</f>
        <v>SF F</v>
      </c>
      <c r="F282" s="911">
        <f>'Marketing SoA'!E203</f>
        <v>53.6</v>
      </c>
      <c r="G282" s="953">
        <f>'Marketing SoA'!F203</f>
        <v>576.94503999999995</v>
      </c>
      <c r="H282" s="911" t="str">
        <f>'Marketing SoA'!G203</f>
        <v>1B2P</v>
      </c>
      <c r="I282" s="911">
        <f>'Marketing SoA'!H203</f>
        <v>1</v>
      </c>
      <c r="J282" s="911" t="str">
        <f>'Marketing SoA'!I203</f>
        <v>-</v>
      </c>
      <c r="K282" s="911" t="str">
        <f>'Marketing SoA'!J203</f>
        <v>On-site within MSCP</v>
      </c>
      <c r="L282" s="911" t="str">
        <f>'Marketing SoA'!K203</f>
        <v>Balcony</v>
      </c>
      <c r="M282" s="920">
        <f>'Marketing SoA'!L203</f>
        <v>84</v>
      </c>
      <c r="O282" s="1191"/>
      <c r="P282" s="1192"/>
      <c r="Q282" s="1192"/>
      <c r="R282" s="1192"/>
      <c r="S282" s="1193"/>
    </row>
    <row r="283" spans="1:19" ht="30" x14ac:dyDescent="0.25">
      <c r="A283" s="1276"/>
      <c r="B283" s="1243"/>
      <c r="C283" s="911">
        <f>'Marketing SoA'!B204</f>
        <v>199</v>
      </c>
      <c r="D283" s="911" t="str">
        <f>'Marketing SoA'!C204</f>
        <v>Flat</v>
      </c>
      <c r="E283" s="911" t="str">
        <f>'Marketing SoA'!D204</f>
        <v>SF F</v>
      </c>
      <c r="F283" s="911">
        <f>'Marketing SoA'!E204</f>
        <v>50.1</v>
      </c>
      <c r="G283" s="953">
        <f>'Marketing SoA'!F204</f>
        <v>539.27139</v>
      </c>
      <c r="H283" s="911" t="str">
        <f>'Marketing SoA'!G204</f>
        <v>1B2P</v>
      </c>
      <c r="I283" s="911">
        <f>'Marketing SoA'!H204</f>
        <v>1</v>
      </c>
      <c r="J283" s="911" t="str">
        <f>'Marketing SoA'!I204</f>
        <v>-</v>
      </c>
      <c r="K283" s="911" t="str">
        <f>'Marketing SoA'!J204</f>
        <v>On-site within MSCP</v>
      </c>
      <c r="L283" s="911" t="str">
        <f>'Marketing SoA'!K204</f>
        <v>Community Amenity</v>
      </c>
      <c r="M283" s="920" t="str">
        <f>'Marketing SoA'!L204</f>
        <v>-</v>
      </c>
      <c r="O283" s="1191"/>
      <c r="P283" s="1192"/>
      <c r="Q283" s="1192"/>
      <c r="R283" s="1192"/>
      <c r="S283" s="1193"/>
    </row>
    <row r="284" spans="1:19" ht="30" x14ac:dyDescent="0.25">
      <c r="A284" s="1276"/>
      <c r="B284" s="1243"/>
      <c r="C284" s="911">
        <f>'Marketing SoA'!B205</f>
        <v>200</v>
      </c>
      <c r="D284" s="911" t="str">
        <f>'Marketing SoA'!C205</f>
        <v>Duplex Flat</v>
      </c>
      <c r="E284" s="911" t="str">
        <f>'Marketing SoA'!D205</f>
        <v>SF DF</v>
      </c>
      <c r="F284" s="911">
        <f>'Marketing SoA'!E205</f>
        <v>81</v>
      </c>
      <c r="G284" s="953">
        <f>'Marketing SoA'!F205</f>
        <v>871.8759</v>
      </c>
      <c r="H284" s="911" t="str">
        <f>'Marketing SoA'!G205</f>
        <v>2B3P</v>
      </c>
      <c r="I284" s="911">
        <f>'Marketing SoA'!H205</f>
        <v>2</v>
      </c>
      <c r="J284" s="911" t="str">
        <f>'Marketing SoA'!I205</f>
        <v>-</v>
      </c>
      <c r="K284" s="911" t="str">
        <f>'Marketing SoA'!J205</f>
        <v>On-site within MSCP</v>
      </c>
      <c r="L284" s="911" t="str">
        <f>'Marketing SoA'!K205</f>
        <v>Community Amenity</v>
      </c>
      <c r="M284" s="920" t="str">
        <f>'Marketing SoA'!L205</f>
        <v>-</v>
      </c>
      <c r="O284" s="1191"/>
      <c r="P284" s="1192"/>
      <c r="Q284" s="1192"/>
      <c r="R284" s="1192"/>
      <c r="S284" s="1193"/>
    </row>
    <row r="285" spans="1:19" ht="30" x14ac:dyDescent="0.25">
      <c r="A285" s="1276"/>
      <c r="B285" s="1243"/>
      <c r="C285" s="911">
        <f>'Marketing SoA'!B206</f>
        <v>201</v>
      </c>
      <c r="D285" s="911" t="str">
        <f>'Marketing SoA'!C206</f>
        <v>Duplex Flat</v>
      </c>
      <c r="E285" s="911" t="str">
        <f>'Marketing SoA'!D206</f>
        <v>SF DF</v>
      </c>
      <c r="F285" s="911">
        <f>'Marketing SoA'!E206</f>
        <v>87.2</v>
      </c>
      <c r="G285" s="953">
        <f>'Marketing SoA'!F206</f>
        <v>938.61207999999999</v>
      </c>
      <c r="H285" s="911" t="str">
        <f>'Marketing SoA'!G206</f>
        <v>2B4P</v>
      </c>
      <c r="I285" s="911">
        <f>'Marketing SoA'!H206</f>
        <v>2</v>
      </c>
      <c r="J285" s="911" t="str">
        <f>'Marketing SoA'!I206</f>
        <v>-</v>
      </c>
      <c r="K285" s="911" t="str">
        <f>'Marketing SoA'!J206</f>
        <v>On-site within MSCP</v>
      </c>
      <c r="L285" s="911" t="str">
        <f>'Marketing SoA'!K206</f>
        <v>Community Amenity</v>
      </c>
      <c r="M285" s="920" t="str">
        <f>'Marketing SoA'!L206</f>
        <v>-</v>
      </c>
      <c r="O285" s="1191"/>
      <c r="P285" s="1192"/>
      <c r="Q285" s="1192"/>
      <c r="R285" s="1192"/>
      <c r="S285" s="1193"/>
    </row>
    <row r="286" spans="1:19" ht="30" x14ac:dyDescent="0.25">
      <c r="A286" s="1276"/>
      <c r="B286" s="1243"/>
      <c r="C286" s="911">
        <f>'Marketing SoA'!B207</f>
        <v>202</v>
      </c>
      <c r="D286" s="911" t="str">
        <f>'Marketing SoA'!C207</f>
        <v>Duplex Flat</v>
      </c>
      <c r="E286" s="911" t="str">
        <f>'Marketing SoA'!D207</f>
        <v>SF DF</v>
      </c>
      <c r="F286" s="911">
        <f>'Marketing SoA'!E207</f>
        <v>81</v>
      </c>
      <c r="G286" s="953">
        <f>'Marketing SoA'!F207</f>
        <v>871.8759</v>
      </c>
      <c r="H286" s="911" t="str">
        <f>'Marketing SoA'!G207</f>
        <v>2B3P</v>
      </c>
      <c r="I286" s="911">
        <f>'Marketing SoA'!H207</f>
        <v>2</v>
      </c>
      <c r="J286" s="911" t="str">
        <f>'Marketing SoA'!I207</f>
        <v>-</v>
      </c>
      <c r="K286" s="911" t="str">
        <f>'Marketing SoA'!J207</f>
        <v>On-site within MSCP</v>
      </c>
      <c r="L286" s="911" t="str">
        <f>'Marketing SoA'!K207</f>
        <v>Community Amenity</v>
      </c>
      <c r="M286" s="920" t="str">
        <f>'Marketing SoA'!L207</f>
        <v>-</v>
      </c>
      <c r="O286" s="1191"/>
      <c r="P286" s="1192"/>
      <c r="Q286" s="1192"/>
      <c r="R286" s="1192"/>
      <c r="S286" s="1193"/>
    </row>
    <row r="287" spans="1:19" ht="30" x14ac:dyDescent="0.25">
      <c r="A287" s="1276"/>
      <c r="B287" s="1243"/>
      <c r="C287" s="911">
        <f>'Marketing SoA'!B208</f>
        <v>203</v>
      </c>
      <c r="D287" s="911" t="str">
        <f>'Marketing SoA'!C208</f>
        <v>Duplex Flat</v>
      </c>
      <c r="E287" s="911" t="str">
        <f>'Marketing SoA'!D208</f>
        <v>SF DF</v>
      </c>
      <c r="F287" s="911">
        <f>'Marketing SoA'!E208</f>
        <v>81</v>
      </c>
      <c r="G287" s="953">
        <f>'Marketing SoA'!F208</f>
        <v>871.8759</v>
      </c>
      <c r="H287" s="911" t="str">
        <f>'Marketing SoA'!G208</f>
        <v>2B3P</v>
      </c>
      <c r="I287" s="911">
        <f>'Marketing SoA'!H208</f>
        <v>2</v>
      </c>
      <c r="J287" s="911" t="str">
        <f>'Marketing SoA'!I208</f>
        <v>-</v>
      </c>
      <c r="K287" s="911" t="str">
        <f>'Marketing SoA'!J208</f>
        <v>On-site within MSCP</v>
      </c>
      <c r="L287" s="911" t="str">
        <f>'Marketing SoA'!K208</f>
        <v>Community Amenity</v>
      </c>
      <c r="M287" s="920" t="str">
        <f>'Marketing SoA'!L208</f>
        <v>-</v>
      </c>
      <c r="O287" s="1191"/>
      <c r="P287" s="1192"/>
      <c r="Q287" s="1192"/>
      <c r="R287" s="1192"/>
      <c r="S287" s="1193"/>
    </row>
    <row r="288" spans="1:19" ht="30" x14ac:dyDescent="0.25">
      <c r="A288" s="1276"/>
      <c r="B288" s="1243"/>
      <c r="C288" s="911">
        <f>'Marketing SoA'!B209</f>
        <v>204</v>
      </c>
      <c r="D288" s="911" t="str">
        <f>'Marketing SoA'!C209</f>
        <v>Duplex Flat</v>
      </c>
      <c r="E288" s="911" t="str">
        <f>'Marketing SoA'!D209</f>
        <v>SF DF</v>
      </c>
      <c r="F288" s="911">
        <f>'Marketing SoA'!E209</f>
        <v>81</v>
      </c>
      <c r="G288" s="953">
        <f>'Marketing SoA'!F209</f>
        <v>871.8759</v>
      </c>
      <c r="H288" s="911" t="str">
        <f>'Marketing SoA'!G209</f>
        <v>2B3P</v>
      </c>
      <c r="I288" s="911">
        <f>'Marketing SoA'!H209</f>
        <v>2</v>
      </c>
      <c r="J288" s="911" t="str">
        <f>'Marketing SoA'!I209</f>
        <v>-</v>
      </c>
      <c r="K288" s="911" t="str">
        <f>'Marketing SoA'!J209</f>
        <v>On-site within MSCP</v>
      </c>
      <c r="L288" s="911" t="str">
        <f>'Marketing SoA'!K209</f>
        <v>Community Amenity</v>
      </c>
      <c r="M288" s="920" t="str">
        <f>'Marketing SoA'!L209</f>
        <v>-</v>
      </c>
      <c r="O288" s="1191"/>
      <c r="P288" s="1192"/>
      <c r="Q288" s="1192"/>
      <c r="R288" s="1192"/>
      <c r="S288" s="1193"/>
    </row>
    <row r="289" spans="1:28" ht="30" x14ac:dyDescent="0.25">
      <c r="A289" s="1276"/>
      <c r="B289" s="1243"/>
      <c r="C289" s="911">
        <f>'Marketing SoA'!B210</f>
        <v>205</v>
      </c>
      <c r="D289" s="911" t="str">
        <f>'Marketing SoA'!C210</f>
        <v>Flat</v>
      </c>
      <c r="E289" s="911" t="str">
        <f>'Marketing SoA'!D210</f>
        <v>TF F</v>
      </c>
      <c r="F289" s="911">
        <f>'Marketing SoA'!E210</f>
        <v>49.9</v>
      </c>
      <c r="G289" s="953">
        <f>'Marketing SoA'!F210</f>
        <v>537.11860999999999</v>
      </c>
      <c r="H289" s="911" t="str">
        <f>'Marketing SoA'!G210</f>
        <v>1B2P</v>
      </c>
      <c r="I289" s="911">
        <f>'Marketing SoA'!H210</f>
        <v>1</v>
      </c>
      <c r="J289" s="911" t="str">
        <f>'Marketing SoA'!I210</f>
        <v>-</v>
      </c>
      <c r="K289" s="911" t="str">
        <f>'Marketing SoA'!J210</f>
        <v>On-site within MSCP</v>
      </c>
      <c r="L289" s="911" t="str">
        <f>'Marketing SoA'!K210</f>
        <v>Community Amenity</v>
      </c>
      <c r="M289" s="920" t="str">
        <f>'Marketing SoA'!L210</f>
        <v>-</v>
      </c>
      <c r="O289" s="1191"/>
      <c r="P289" s="1192"/>
      <c r="Q289" s="1192"/>
      <c r="R289" s="1192"/>
      <c r="S289" s="1193"/>
    </row>
    <row r="290" spans="1:28" ht="30" x14ac:dyDescent="0.25">
      <c r="A290" s="1276"/>
      <c r="B290" s="1243"/>
      <c r="C290" s="911">
        <f>'Marketing SoA'!B211</f>
        <v>206</v>
      </c>
      <c r="D290" s="911" t="str">
        <f>'Marketing SoA'!C211</f>
        <v>Flat</v>
      </c>
      <c r="E290" s="911" t="str">
        <f>'Marketing SoA'!D211</f>
        <v>TF F</v>
      </c>
      <c r="F290" s="911">
        <f>'Marketing SoA'!E211</f>
        <v>51.7</v>
      </c>
      <c r="G290" s="953">
        <f>'Marketing SoA'!F211</f>
        <v>556.49363000000005</v>
      </c>
      <c r="H290" s="911" t="str">
        <f>'Marketing SoA'!G211</f>
        <v>1B2P</v>
      </c>
      <c r="I290" s="911">
        <f>'Marketing SoA'!H211</f>
        <v>1</v>
      </c>
      <c r="J290" s="911" t="str">
        <f>'Marketing SoA'!I211</f>
        <v>-</v>
      </c>
      <c r="K290" s="911" t="str">
        <f>'Marketing SoA'!J211</f>
        <v>On-site within MSCP</v>
      </c>
      <c r="L290" s="911" t="str">
        <f>'Marketing SoA'!K211</f>
        <v>Community Amenity</v>
      </c>
      <c r="M290" s="920" t="str">
        <f>'Marketing SoA'!L211</f>
        <v>-</v>
      </c>
      <c r="O290" s="1191"/>
      <c r="P290" s="1192"/>
      <c r="Q290" s="1192"/>
      <c r="R290" s="1192"/>
      <c r="S290" s="1193"/>
    </row>
    <row r="291" spans="1:28" ht="30" x14ac:dyDescent="0.25">
      <c r="A291" s="1276"/>
      <c r="B291" s="1243"/>
      <c r="C291" s="911">
        <f>'Marketing SoA'!B212</f>
        <v>207</v>
      </c>
      <c r="D291" s="911" t="str">
        <f>'Marketing SoA'!C212</f>
        <v>Flat</v>
      </c>
      <c r="E291" s="911" t="str">
        <f>'Marketing SoA'!D212</f>
        <v>TF F</v>
      </c>
      <c r="F291" s="911">
        <f>'Marketing SoA'!E212</f>
        <v>50.2</v>
      </c>
      <c r="G291" s="953">
        <f>'Marketing SoA'!F212</f>
        <v>540.34778000000006</v>
      </c>
      <c r="H291" s="911" t="str">
        <f>'Marketing SoA'!G212</f>
        <v>1B2P</v>
      </c>
      <c r="I291" s="911">
        <f>'Marketing SoA'!H212</f>
        <v>1</v>
      </c>
      <c r="J291" s="911" t="str">
        <f>'Marketing SoA'!I212</f>
        <v>-</v>
      </c>
      <c r="K291" s="911" t="str">
        <f>'Marketing SoA'!J212</f>
        <v>On-site within MSCP</v>
      </c>
      <c r="L291" s="911" t="str">
        <f>'Marketing SoA'!K212</f>
        <v>Community Amenity</v>
      </c>
      <c r="M291" s="920" t="str">
        <f>'Marketing SoA'!L212</f>
        <v>-</v>
      </c>
      <c r="O291" s="1191"/>
      <c r="P291" s="1192"/>
      <c r="Q291" s="1192"/>
      <c r="R291" s="1192"/>
      <c r="S291" s="1193"/>
    </row>
    <row r="292" spans="1:28" ht="30" x14ac:dyDescent="0.25">
      <c r="A292" s="1276"/>
      <c r="B292" s="1243"/>
      <c r="C292" s="911">
        <f>'Marketing SoA'!B213</f>
        <v>208</v>
      </c>
      <c r="D292" s="911" t="str">
        <f>'Marketing SoA'!C213</f>
        <v>Flat</v>
      </c>
      <c r="E292" s="911" t="str">
        <f>'Marketing SoA'!D213</f>
        <v>TF F</v>
      </c>
      <c r="F292" s="911">
        <f>'Marketing SoA'!E213</f>
        <v>53.6</v>
      </c>
      <c r="G292" s="953">
        <f>'Marketing SoA'!F213</f>
        <v>576.94503999999995</v>
      </c>
      <c r="H292" s="911" t="str">
        <f>'Marketing SoA'!G213</f>
        <v>1B2P</v>
      </c>
      <c r="I292" s="911">
        <f>'Marketing SoA'!H213</f>
        <v>1</v>
      </c>
      <c r="J292" s="911" t="str">
        <f>'Marketing SoA'!I213</f>
        <v>-</v>
      </c>
      <c r="K292" s="911" t="str">
        <f>'Marketing SoA'!J213</f>
        <v>On-site within MSCP</v>
      </c>
      <c r="L292" s="911" t="str">
        <f>'Marketing SoA'!K213</f>
        <v>Community Amenity</v>
      </c>
      <c r="M292" s="920" t="str">
        <f>'Marketing SoA'!L213</f>
        <v>-</v>
      </c>
      <c r="O292" s="1191"/>
      <c r="P292" s="1192"/>
      <c r="Q292" s="1192"/>
      <c r="R292" s="1192"/>
      <c r="S292" s="1193"/>
    </row>
    <row r="293" spans="1:28" ht="30" x14ac:dyDescent="0.25">
      <c r="A293" s="1276"/>
      <c r="B293" s="1243"/>
      <c r="C293" s="911">
        <f>'Marketing SoA'!B214</f>
        <v>209</v>
      </c>
      <c r="D293" s="911" t="str">
        <f>'Marketing SoA'!C214</f>
        <v>Flat</v>
      </c>
      <c r="E293" s="911" t="str">
        <f>'Marketing SoA'!D214</f>
        <v>TF F</v>
      </c>
      <c r="F293" s="911">
        <f>'Marketing SoA'!E214</f>
        <v>50.1</v>
      </c>
      <c r="G293" s="953">
        <f>'Marketing SoA'!F214</f>
        <v>539.27139</v>
      </c>
      <c r="H293" s="911" t="str">
        <f>'Marketing SoA'!G214</f>
        <v>1B2P</v>
      </c>
      <c r="I293" s="911">
        <f>'Marketing SoA'!H214</f>
        <v>1</v>
      </c>
      <c r="J293" s="911" t="str">
        <f>'Marketing SoA'!I214</f>
        <v>-</v>
      </c>
      <c r="K293" s="911" t="str">
        <f>'Marketing SoA'!J214</f>
        <v>On-site within MSCP</v>
      </c>
      <c r="L293" s="911" t="str">
        <f>'Marketing SoA'!K214</f>
        <v>Community Amenity</v>
      </c>
      <c r="M293" s="920" t="str">
        <f>'Marketing SoA'!L214</f>
        <v>-</v>
      </c>
      <c r="O293" s="1191"/>
      <c r="P293" s="1192"/>
      <c r="Q293" s="1192"/>
      <c r="R293" s="1192"/>
      <c r="S293" s="1193"/>
    </row>
    <row r="294" spans="1:28" ht="30" x14ac:dyDescent="0.25">
      <c r="A294" s="1276"/>
      <c r="B294" s="1243"/>
      <c r="C294" s="911">
        <f>'Marketing SoA'!B215</f>
        <v>210</v>
      </c>
      <c r="D294" s="911" t="str">
        <f>'Marketing SoA'!C215</f>
        <v>Flat</v>
      </c>
      <c r="E294" s="911" t="str">
        <f>'Marketing SoA'!D215</f>
        <v>4F F</v>
      </c>
      <c r="F294" s="911">
        <f>'Marketing SoA'!E215</f>
        <v>49.9</v>
      </c>
      <c r="G294" s="953">
        <f>'Marketing SoA'!F215</f>
        <v>537.11860999999999</v>
      </c>
      <c r="H294" s="911" t="str">
        <f>'Marketing SoA'!G215</f>
        <v>1B2P</v>
      </c>
      <c r="I294" s="911">
        <f>'Marketing SoA'!H215</f>
        <v>1</v>
      </c>
      <c r="J294" s="911" t="str">
        <f>'Marketing SoA'!I215</f>
        <v>-</v>
      </c>
      <c r="K294" s="911" t="str">
        <f>'Marketing SoA'!J215</f>
        <v>On-site within MSCP</v>
      </c>
      <c r="L294" s="911" t="str">
        <f>'Marketing SoA'!K215</f>
        <v>Community Amenity</v>
      </c>
      <c r="M294" s="920" t="str">
        <f>'Marketing SoA'!L215</f>
        <v>-</v>
      </c>
      <c r="O294" s="1191"/>
      <c r="P294" s="1192"/>
      <c r="Q294" s="1192"/>
      <c r="R294" s="1192"/>
      <c r="S294" s="1193"/>
    </row>
    <row r="295" spans="1:28" ht="30" x14ac:dyDescent="0.25">
      <c r="A295" s="1276"/>
      <c r="B295" s="1243"/>
      <c r="C295" s="911">
        <f>'Marketing SoA'!B216</f>
        <v>211</v>
      </c>
      <c r="D295" s="911" t="str">
        <f>'Marketing SoA'!C216</f>
        <v>Flat</v>
      </c>
      <c r="E295" s="911" t="str">
        <f>'Marketing SoA'!D216</f>
        <v>4F F</v>
      </c>
      <c r="F295" s="911">
        <f>'Marketing SoA'!E216</f>
        <v>51.7</v>
      </c>
      <c r="G295" s="953">
        <f>'Marketing SoA'!F216</f>
        <v>556.49363000000005</v>
      </c>
      <c r="H295" s="911" t="str">
        <f>'Marketing SoA'!G216</f>
        <v>1B2P</v>
      </c>
      <c r="I295" s="911">
        <f>'Marketing SoA'!H216</f>
        <v>1</v>
      </c>
      <c r="J295" s="911" t="str">
        <f>'Marketing SoA'!I216</f>
        <v>-</v>
      </c>
      <c r="K295" s="911" t="str">
        <f>'Marketing SoA'!J216</f>
        <v>On-site within MSCP</v>
      </c>
      <c r="L295" s="911" t="str">
        <f>'Marketing SoA'!K216</f>
        <v>Community Amenity</v>
      </c>
      <c r="M295" s="920" t="str">
        <f>'Marketing SoA'!L216</f>
        <v>-</v>
      </c>
      <c r="O295" s="1191"/>
      <c r="P295" s="1192"/>
      <c r="Q295" s="1192"/>
      <c r="R295" s="1192"/>
      <c r="S295" s="1193"/>
    </row>
    <row r="296" spans="1:28" ht="30" x14ac:dyDescent="0.25">
      <c r="A296" s="1276"/>
      <c r="B296" s="1243"/>
      <c r="C296" s="911">
        <f>'Marketing SoA'!B217</f>
        <v>212</v>
      </c>
      <c r="D296" s="911" t="str">
        <f>'Marketing SoA'!C217</f>
        <v>Flat</v>
      </c>
      <c r="E296" s="911" t="str">
        <f>'Marketing SoA'!D217</f>
        <v>4F F</v>
      </c>
      <c r="F296" s="911">
        <f>'Marketing SoA'!E217</f>
        <v>50.2</v>
      </c>
      <c r="G296" s="953">
        <f>'Marketing SoA'!F217</f>
        <v>540.34778000000006</v>
      </c>
      <c r="H296" s="911" t="str">
        <f>'Marketing SoA'!G217</f>
        <v>1B2P</v>
      </c>
      <c r="I296" s="911">
        <f>'Marketing SoA'!H217</f>
        <v>1</v>
      </c>
      <c r="J296" s="911" t="str">
        <f>'Marketing SoA'!I217</f>
        <v>-</v>
      </c>
      <c r="K296" s="911" t="str">
        <f>'Marketing SoA'!J217</f>
        <v>On-site within MSCP</v>
      </c>
      <c r="L296" s="911" t="str">
        <f>'Marketing SoA'!K217</f>
        <v>Community Amenity</v>
      </c>
      <c r="M296" s="920" t="str">
        <f>'Marketing SoA'!L217</f>
        <v>-</v>
      </c>
      <c r="O296" s="1191"/>
      <c r="P296" s="1192"/>
      <c r="Q296" s="1192"/>
      <c r="R296" s="1192"/>
      <c r="S296" s="1193"/>
    </row>
    <row r="297" spans="1:28" ht="30" x14ac:dyDescent="0.25">
      <c r="A297" s="1276"/>
      <c r="B297" s="1243"/>
      <c r="C297" s="911" t="str">
        <f>'Marketing SoA'!B218</f>
        <v>212A</v>
      </c>
      <c r="D297" s="911" t="str">
        <f>'Marketing SoA'!C218</f>
        <v>Flat</v>
      </c>
      <c r="E297" s="911" t="str">
        <f>'Marketing SoA'!D218</f>
        <v>4F F</v>
      </c>
      <c r="F297" s="911">
        <f>'Marketing SoA'!E218</f>
        <v>53.6</v>
      </c>
      <c r="G297" s="953">
        <f>'Marketing SoA'!F218</f>
        <v>576.94503999999995</v>
      </c>
      <c r="H297" s="911" t="str">
        <f>'Marketing SoA'!G218</f>
        <v>1B2P</v>
      </c>
      <c r="I297" s="911">
        <f>'Marketing SoA'!H218</f>
        <v>1</v>
      </c>
      <c r="J297" s="911" t="str">
        <f>'Marketing SoA'!I218</f>
        <v>-</v>
      </c>
      <c r="K297" s="911" t="str">
        <f>'Marketing SoA'!J218</f>
        <v>On-site within MSCP</v>
      </c>
      <c r="L297" s="911" t="str">
        <f>'Marketing SoA'!K218</f>
        <v>Community Amenity</v>
      </c>
      <c r="M297" s="920" t="str">
        <f>'Marketing SoA'!L218</f>
        <v>-</v>
      </c>
      <c r="O297" s="1191"/>
      <c r="P297" s="1192"/>
      <c r="Q297" s="1192"/>
      <c r="R297" s="1192"/>
      <c r="S297" s="1193"/>
    </row>
    <row r="298" spans="1:28" ht="30" x14ac:dyDescent="0.25">
      <c r="A298" s="1276"/>
      <c r="B298" s="1243"/>
      <c r="C298" s="911">
        <f>'Marketing SoA'!B219</f>
        <v>213</v>
      </c>
      <c r="D298" s="911" t="str">
        <f>'Marketing SoA'!C219</f>
        <v>Flat</v>
      </c>
      <c r="E298" s="911" t="str">
        <f>'Marketing SoA'!D219</f>
        <v>5F F</v>
      </c>
      <c r="F298" s="911">
        <f>'Marketing SoA'!E219</f>
        <v>49.9</v>
      </c>
      <c r="G298" s="953">
        <f>'Marketing SoA'!F219</f>
        <v>537.11860999999999</v>
      </c>
      <c r="H298" s="911" t="str">
        <f>'Marketing SoA'!G219</f>
        <v>1B2P</v>
      </c>
      <c r="I298" s="911">
        <f>'Marketing SoA'!H219</f>
        <v>1</v>
      </c>
      <c r="J298" s="911" t="str">
        <f>'Marketing SoA'!I219</f>
        <v>-</v>
      </c>
      <c r="K298" s="911" t="str">
        <f>'Marketing SoA'!J219</f>
        <v>On-site within MSCP</v>
      </c>
      <c r="L298" s="911" t="str">
        <f>'Marketing SoA'!K219</f>
        <v>Community Amenity</v>
      </c>
      <c r="M298" s="920" t="str">
        <f>'Marketing SoA'!L219</f>
        <v>-</v>
      </c>
      <c r="O298" s="1191"/>
      <c r="P298" s="1192"/>
      <c r="Q298" s="1192"/>
      <c r="R298" s="1192"/>
      <c r="S298" s="1193"/>
    </row>
    <row r="299" spans="1:28" ht="30" x14ac:dyDescent="0.25">
      <c r="A299" s="1276"/>
      <c r="B299" s="1243"/>
      <c r="C299" s="911">
        <f>'Marketing SoA'!B220</f>
        <v>214</v>
      </c>
      <c r="D299" s="911" t="str">
        <f>'Marketing SoA'!C220</f>
        <v>Flat</v>
      </c>
      <c r="E299" s="911" t="str">
        <f>'Marketing SoA'!D220</f>
        <v>5F F</v>
      </c>
      <c r="F299" s="911">
        <f>'Marketing SoA'!E220</f>
        <v>51.7</v>
      </c>
      <c r="G299" s="953">
        <f>'Marketing SoA'!F220</f>
        <v>556.49363000000005</v>
      </c>
      <c r="H299" s="911" t="str">
        <f>'Marketing SoA'!G220</f>
        <v>1B2P</v>
      </c>
      <c r="I299" s="911">
        <f>'Marketing SoA'!H220</f>
        <v>1</v>
      </c>
      <c r="J299" s="911" t="str">
        <f>'Marketing SoA'!I220</f>
        <v>-</v>
      </c>
      <c r="K299" s="911" t="str">
        <f>'Marketing SoA'!J220</f>
        <v>On-site within MSCP</v>
      </c>
      <c r="L299" s="911" t="str">
        <f>'Marketing SoA'!K220</f>
        <v>Community Amenity</v>
      </c>
      <c r="M299" s="920" t="str">
        <f>'Marketing SoA'!L220</f>
        <v>-</v>
      </c>
      <c r="O299" s="1191"/>
      <c r="P299" s="1192"/>
      <c r="Q299" s="1192"/>
      <c r="R299" s="1192"/>
      <c r="S299" s="1193"/>
    </row>
    <row r="300" spans="1:28" ht="30.75" thickBot="1" x14ac:dyDescent="0.3">
      <c r="A300" s="1276"/>
      <c r="B300" s="1244"/>
      <c r="C300" s="921">
        <f>'Marketing SoA'!B221</f>
        <v>215</v>
      </c>
      <c r="D300" s="921" t="str">
        <f>'Marketing SoA'!C221</f>
        <v>Flat</v>
      </c>
      <c r="E300" s="921" t="str">
        <f>'Marketing SoA'!D221</f>
        <v>5F F</v>
      </c>
      <c r="F300" s="921">
        <f>'Marketing SoA'!E221</f>
        <v>50.2</v>
      </c>
      <c r="G300" s="954">
        <f>'Marketing SoA'!F221</f>
        <v>540.34778000000006</v>
      </c>
      <c r="H300" s="921" t="str">
        <f>'Marketing SoA'!G221</f>
        <v>1B2P</v>
      </c>
      <c r="I300" s="921">
        <f>'Marketing SoA'!H221</f>
        <v>1</v>
      </c>
      <c r="J300" s="921" t="str">
        <f>'Marketing SoA'!I221</f>
        <v>-</v>
      </c>
      <c r="K300" s="921" t="str">
        <f>'Marketing SoA'!J221</f>
        <v>On-site within MSCP</v>
      </c>
      <c r="L300" s="921" t="str">
        <f>'Marketing SoA'!K221</f>
        <v>Community Amenity</v>
      </c>
      <c r="M300" s="922" t="str">
        <f>'Marketing SoA'!L221</f>
        <v>-</v>
      </c>
      <c r="O300" s="1191"/>
      <c r="P300" s="1192"/>
      <c r="Q300" s="1192"/>
      <c r="R300" s="1192"/>
      <c r="S300" s="1193"/>
    </row>
    <row r="301" spans="1:28" ht="46.5" thickTop="1" thickBot="1" x14ac:dyDescent="0.3">
      <c r="A301" s="1232" t="s">
        <v>616</v>
      </c>
      <c r="B301" s="1265" t="s">
        <v>119</v>
      </c>
      <c r="C301" s="914">
        <f>'Marketing SoA'!B93</f>
        <v>88</v>
      </c>
      <c r="D301" s="914" t="str">
        <f>'Marketing SoA'!C93</f>
        <v>House</v>
      </c>
      <c r="E301" s="914" t="str">
        <f>'Marketing SoA'!D93</f>
        <v>MT House</v>
      </c>
      <c r="F301" s="914">
        <f>'Marketing SoA'!E93</f>
        <v>131.4</v>
      </c>
      <c r="G301" s="955">
        <f>'Marketing SoA'!F93</f>
        <v>1414.37646</v>
      </c>
      <c r="H301" s="914" t="str">
        <f>'Marketing SoA'!G93</f>
        <v>4B8P</v>
      </c>
      <c r="I301" s="914">
        <f>'Marketing SoA'!H93</f>
        <v>3</v>
      </c>
      <c r="J301" s="914" t="str">
        <f>'Marketing SoA'!I93</f>
        <v>Y</v>
      </c>
      <c r="K301" s="914" t="str">
        <f>'Marketing SoA'!J93</f>
        <v>On-plot Allocated Parking</v>
      </c>
      <c r="L301" s="914" t="str">
        <f>'Marketing SoA'!K93</f>
        <v>Private Rear Garden</v>
      </c>
      <c r="M301" s="915">
        <f>'Marketing SoA'!L93</f>
        <v>477</v>
      </c>
      <c r="O301" s="1191"/>
      <c r="P301" s="1192"/>
      <c r="Q301" s="1192"/>
      <c r="R301" s="1192"/>
      <c r="S301" s="1193"/>
      <c r="U301" s="1135" t="s">
        <v>616</v>
      </c>
      <c r="V301" s="1136" t="s">
        <v>639</v>
      </c>
      <c r="W301" s="1137"/>
      <c r="X301" s="1137"/>
      <c r="Y301" s="1137"/>
      <c r="Z301" s="1137"/>
      <c r="AA301" s="1137"/>
      <c r="AB301" s="1138"/>
    </row>
    <row r="302" spans="1:28" ht="45" x14ac:dyDescent="0.25">
      <c r="A302" s="1232"/>
      <c r="B302" s="1265"/>
      <c r="C302" s="914">
        <f>'Marketing SoA'!B94</f>
        <v>89</v>
      </c>
      <c r="D302" s="914" t="str">
        <f>'Marketing SoA'!C94</f>
        <v>House</v>
      </c>
      <c r="E302" s="914" t="str">
        <f>'Marketing SoA'!D94</f>
        <v>EoT House</v>
      </c>
      <c r="F302" s="914">
        <f>'Marketing SoA'!E94</f>
        <v>131.4</v>
      </c>
      <c r="G302" s="955">
        <f>'Marketing SoA'!F94</f>
        <v>1414.37646</v>
      </c>
      <c r="H302" s="914" t="str">
        <f>'Marketing SoA'!G94</f>
        <v>4B8P</v>
      </c>
      <c r="I302" s="914">
        <f>'Marketing SoA'!H94</f>
        <v>3</v>
      </c>
      <c r="J302" s="914" t="str">
        <f>'Marketing SoA'!I94</f>
        <v>Y</v>
      </c>
      <c r="K302" s="914" t="str">
        <f>'Marketing SoA'!J94</f>
        <v>On-plot Allocated Parking</v>
      </c>
      <c r="L302" s="914" t="str">
        <f>'Marketing SoA'!K94</f>
        <v>Private Front Garden</v>
      </c>
      <c r="M302" s="915">
        <f>'Marketing SoA'!L94</f>
        <v>144</v>
      </c>
      <c r="O302" s="1191"/>
      <c r="P302" s="1192"/>
      <c r="Q302" s="1192"/>
      <c r="R302" s="1192"/>
      <c r="S302" s="1193"/>
      <c r="U302" s="1135"/>
      <c r="V302" s="165"/>
      <c r="W302" s="791" t="s">
        <v>60</v>
      </c>
      <c r="X302" s="385" t="s">
        <v>192</v>
      </c>
      <c r="Y302" s="792" t="s">
        <v>78</v>
      </c>
      <c r="Z302" s="793" t="s">
        <v>55</v>
      </c>
      <c r="AA302" s="162" t="s">
        <v>56</v>
      </c>
      <c r="AB302" s="655" t="s">
        <v>52</v>
      </c>
    </row>
    <row r="303" spans="1:28" ht="45" x14ac:dyDescent="0.25">
      <c r="A303" s="1232"/>
      <c r="B303" s="1265"/>
      <c r="C303" s="914">
        <f>'Marketing SoA'!B95</f>
        <v>90</v>
      </c>
      <c r="D303" s="914" t="str">
        <f>'Marketing SoA'!C95</f>
        <v>House</v>
      </c>
      <c r="E303" s="914" t="str">
        <f>'Marketing SoA'!D95</f>
        <v>EoT House</v>
      </c>
      <c r="F303" s="914">
        <f>'Marketing SoA'!E95</f>
        <v>77.099999999999994</v>
      </c>
      <c r="G303" s="955">
        <f>'Marketing SoA'!F95</f>
        <v>829.89668999999992</v>
      </c>
      <c r="H303" s="914" t="str">
        <f>'Marketing SoA'!G95</f>
        <v>2B3P</v>
      </c>
      <c r="I303" s="914">
        <f>'Marketing SoA'!H95</f>
        <v>3</v>
      </c>
      <c r="J303" s="914" t="str">
        <f>'Marketing SoA'!I95</f>
        <v>-</v>
      </c>
      <c r="K303" s="914" t="str">
        <f>'Marketing SoA'!J95</f>
        <v>On-plot Allocated Parking</v>
      </c>
      <c r="L303" s="914" t="str">
        <f>'Marketing SoA'!K95</f>
        <v>Private Front Garden</v>
      </c>
      <c r="M303" s="915">
        <f>'Marketing SoA'!L95</f>
        <v>99</v>
      </c>
      <c r="O303" s="1191"/>
      <c r="P303" s="1192"/>
      <c r="Q303" s="1192"/>
      <c r="R303" s="1192"/>
      <c r="S303" s="1193"/>
      <c r="U303" s="1135"/>
      <c r="V303" s="155" t="s">
        <v>28</v>
      </c>
      <c r="W303" s="781">
        <f>COUNTIFS('Plot By Plot SoA'!$E$102:$E$139,"Y",'Plot By Plot SoA'!$K$102:$K$139,"Y")</f>
        <v>0</v>
      </c>
      <c r="X303" s="789">
        <f>COUNTIFS('Plot By Plot SoA'!$F$102:$F$139,"Y",'Plot By Plot SoA'!$K$102:$K$139,"Y")</f>
        <v>0</v>
      </c>
      <c r="Y303" s="786">
        <f>COUNTIFS('Plot By Plot SoA'!$G$102:$G$139,"Y",'Plot By Plot SoA'!$K$102:$K$139,"Y")</f>
        <v>0</v>
      </c>
      <c r="Z303" s="786">
        <f>COUNTIFS('Plot By Plot SoA'!$H$102:$H$139,"Y",'Plot By Plot SoA'!$K$102:$K$139,"Y")</f>
        <v>0</v>
      </c>
      <c r="AA303" s="780">
        <f>COUNTIFS('Plot By Plot SoA'!$I$102:$I$139,"Y",'Plot By Plot SoA'!$K$102:$K$139,"Y")</f>
        <v>0</v>
      </c>
      <c r="AB303" s="471">
        <f>SUM(W303:AA303)</f>
        <v>0</v>
      </c>
    </row>
    <row r="304" spans="1:28" ht="45" x14ac:dyDescent="0.25">
      <c r="A304" s="1232"/>
      <c r="B304" s="1265"/>
      <c r="C304" s="914">
        <f>'Marketing SoA'!B96</f>
        <v>91</v>
      </c>
      <c r="D304" s="914" t="str">
        <f>'Marketing SoA'!C96</f>
        <v>House</v>
      </c>
      <c r="E304" s="914" t="str">
        <f>'Marketing SoA'!D96</f>
        <v>MT House</v>
      </c>
      <c r="F304" s="914">
        <f>'Marketing SoA'!E96</f>
        <v>70</v>
      </c>
      <c r="G304" s="955">
        <f>'Marketing SoA'!F96</f>
        <v>753.47299999999996</v>
      </c>
      <c r="H304" s="914" t="str">
        <f>'Marketing SoA'!G96</f>
        <v>2B3P</v>
      </c>
      <c r="I304" s="914">
        <f>'Marketing SoA'!H96</f>
        <v>3</v>
      </c>
      <c r="J304" s="914" t="str">
        <f>'Marketing SoA'!I96</f>
        <v>-</v>
      </c>
      <c r="K304" s="914" t="str">
        <f>'Marketing SoA'!J96</f>
        <v>On-plot Allocated Parking</v>
      </c>
      <c r="L304" s="914" t="str">
        <f>'Marketing SoA'!K96</f>
        <v>Private Front Garden</v>
      </c>
      <c r="M304" s="915">
        <f>'Marketing SoA'!L96</f>
        <v>96</v>
      </c>
      <c r="O304" s="1191"/>
      <c r="P304" s="1192"/>
      <c r="Q304" s="1192"/>
      <c r="R304" s="1192"/>
      <c r="S304" s="1193"/>
      <c r="U304" s="1135"/>
      <c r="V304" s="155" t="s">
        <v>29</v>
      </c>
      <c r="W304" s="782">
        <f>COUNTIFS('Plot By Plot SoA'!$E$102:$E$139,"Y",'Plot By Plot SoA'!$L$102:$L$139,"Y")</f>
        <v>9</v>
      </c>
      <c r="X304" s="198">
        <f>COUNTIFS('Plot By Plot SoA'!$F$102:$F$139,"Y",'Plot By Plot SoA'!$L$102:$L$139,"Y")</f>
        <v>1</v>
      </c>
      <c r="Y304" s="770">
        <f>COUNTIFS('Plot By Plot SoA'!$G$102:$G$139,"Y",'Plot By Plot SoA'!$L$102:$L$139,"Y")</f>
        <v>4</v>
      </c>
      <c r="Z304" s="770">
        <f>COUNTIFS('Plot By Plot SoA'!$H$102:$H$139,"Y",'Plot By Plot SoA'!$L$102:$L$139,"Y")</f>
        <v>0</v>
      </c>
      <c r="AA304" s="779">
        <f>COUNTIFS('Plot By Plot SoA'!$I$102:$I$139,"Y",'Plot By Plot SoA'!$L$102:$L$139,"Y")</f>
        <v>0</v>
      </c>
      <c r="AB304" s="805">
        <f>SUM(W304:AA304)</f>
        <v>14</v>
      </c>
    </row>
    <row r="305" spans="1:28" ht="45" x14ac:dyDescent="0.25">
      <c r="A305" s="1232"/>
      <c r="B305" s="1265"/>
      <c r="C305" s="914">
        <f>'Marketing SoA'!B97</f>
        <v>92</v>
      </c>
      <c r="D305" s="914" t="str">
        <f>'Marketing SoA'!C97</f>
        <v>House</v>
      </c>
      <c r="E305" s="914" t="str">
        <f>'Marketing SoA'!D97</f>
        <v>MT House</v>
      </c>
      <c r="F305" s="914">
        <f>'Marketing SoA'!E97</f>
        <v>70</v>
      </c>
      <c r="G305" s="955">
        <f>'Marketing SoA'!F97</f>
        <v>753.47299999999996</v>
      </c>
      <c r="H305" s="914" t="str">
        <f>'Marketing SoA'!G97</f>
        <v>2B3P</v>
      </c>
      <c r="I305" s="914">
        <f>'Marketing SoA'!H97</f>
        <v>3</v>
      </c>
      <c r="J305" s="914" t="str">
        <f>'Marketing SoA'!I97</f>
        <v>-</v>
      </c>
      <c r="K305" s="914" t="str">
        <f>'Marketing SoA'!J97</f>
        <v>On-plot Allocated Parking</v>
      </c>
      <c r="L305" s="914" t="str">
        <f>'Marketing SoA'!K97</f>
        <v>Private Front Garden</v>
      </c>
      <c r="M305" s="915">
        <f>'Marketing SoA'!L97</f>
        <v>93</v>
      </c>
      <c r="O305" s="1191"/>
      <c r="P305" s="1192"/>
      <c r="Q305" s="1192"/>
      <c r="R305" s="1192"/>
      <c r="S305" s="1193"/>
      <c r="U305" s="1135"/>
      <c r="V305" s="155" t="s">
        <v>30</v>
      </c>
      <c r="W305" s="784">
        <f>COUNTIFS('Plot By Plot SoA'!$E$102:$E$139,"Y",'Plot By Plot SoA'!$M$102:$M$139,"Y")</f>
        <v>8</v>
      </c>
      <c r="X305" s="180">
        <f>COUNTIFS('Plot By Plot SoA'!$F$102:$F$139,"Y",'Plot By Plot SoA'!$M$102:$M$139,"Y")</f>
        <v>0</v>
      </c>
      <c r="Y305" s="787">
        <f>COUNTIFS('Plot By Plot SoA'!$G$102:$G$139,"Y",'Plot By Plot SoA'!$M$102:$M$139,"Y")</f>
        <v>2</v>
      </c>
      <c r="Z305" s="787">
        <f>COUNTIFS('Plot By Plot SoA'!$H$102:$H$139,"Y",'Plot By Plot SoA'!$M$102:$M$139,"Y")</f>
        <v>0</v>
      </c>
      <c r="AA305" s="785">
        <f>COUNTIFS('Plot By Plot SoA'!$I$102:$I$139,"Y",'Plot By Plot SoA'!$M$102:$M$139,"Y")</f>
        <v>0</v>
      </c>
      <c r="AB305" s="805">
        <f>SUM(W305:AA305)</f>
        <v>10</v>
      </c>
    </row>
    <row r="306" spans="1:28" ht="45.75" thickBot="1" x14ac:dyDescent="0.3">
      <c r="A306" s="1232"/>
      <c r="B306" s="1265"/>
      <c r="C306" s="914">
        <f>'Marketing SoA'!B98</f>
        <v>93</v>
      </c>
      <c r="D306" s="914" t="str">
        <f>'Marketing SoA'!C98</f>
        <v>House</v>
      </c>
      <c r="E306" s="914" t="str">
        <f>'Marketing SoA'!D98</f>
        <v>EoT House</v>
      </c>
      <c r="F306" s="914">
        <f>'Marketing SoA'!E98</f>
        <v>76.599999999999994</v>
      </c>
      <c r="G306" s="955">
        <f>'Marketing SoA'!F98</f>
        <v>824.51473999999996</v>
      </c>
      <c r="H306" s="914" t="str">
        <f>'Marketing SoA'!G98</f>
        <v>2B3P</v>
      </c>
      <c r="I306" s="914">
        <f>'Marketing SoA'!H98</f>
        <v>2</v>
      </c>
      <c r="J306" s="914" t="str">
        <f>'Marketing SoA'!I98</f>
        <v>Y</v>
      </c>
      <c r="K306" s="914" t="str">
        <f>'Marketing SoA'!J98</f>
        <v>On-plot Allocated Parking</v>
      </c>
      <c r="L306" s="914" t="str">
        <f>'Marketing SoA'!K98</f>
        <v>Community Amenity</v>
      </c>
      <c r="M306" s="915" t="str">
        <f>'Marketing SoA'!L98</f>
        <v>-</v>
      </c>
      <c r="O306" s="1191"/>
      <c r="P306" s="1192"/>
      <c r="Q306" s="1192"/>
      <c r="R306" s="1192"/>
      <c r="S306" s="1193"/>
      <c r="U306" s="1135"/>
      <c r="V306" s="165" t="s">
        <v>62</v>
      </c>
      <c r="W306" s="783">
        <f>COUNTIFS('Plot By Plot SoA'!$E$102:$E$139,"Y",'Plot By Plot SoA'!$N$102:$N$139,"Y")</f>
        <v>4</v>
      </c>
      <c r="X306" s="790">
        <f>COUNTIFS('Plot By Plot SoA'!$F$102:$F$139,"Y",'Plot By Plot SoA'!$N$102:$N$139,"Y")</f>
        <v>0</v>
      </c>
      <c r="Y306" s="788">
        <f>COUNTIFS('Plot By Plot SoA'!$G$102:$G$139,"Y",'Plot By Plot SoA'!$N$102:$N$139,"Y")</f>
        <v>0</v>
      </c>
      <c r="Z306" s="788">
        <f>COUNTIFS('Plot By Plot SoA'!$H$102:$H$139,"Y",'Plot By Plot SoA'!$N$102:$N$139,"Y")</f>
        <v>0</v>
      </c>
      <c r="AA306" s="162">
        <f>COUNTIFS('Plot By Plot SoA'!$I$102:$I$139,"Y",'Plot By Plot SoA'!$N$102:$N$139,"Y")</f>
        <v>0</v>
      </c>
      <c r="AB306" s="656">
        <f>SUM(W306:AA306)</f>
        <v>4</v>
      </c>
    </row>
    <row r="307" spans="1:28" ht="30.75" thickBot="1" x14ac:dyDescent="0.3">
      <c r="A307" s="1232"/>
      <c r="B307" s="1265"/>
      <c r="C307" s="914">
        <f>'Marketing SoA'!B99</f>
        <v>94</v>
      </c>
      <c r="D307" s="914" t="str">
        <f>'Marketing SoA'!C99</f>
        <v>House</v>
      </c>
      <c r="E307" s="914" t="str">
        <f>'Marketing SoA'!D99</f>
        <v>EoT House</v>
      </c>
      <c r="F307" s="914">
        <f>'Marketing SoA'!E99</f>
        <v>74.2</v>
      </c>
      <c r="G307" s="955">
        <f>'Marketing SoA'!F99</f>
        <v>798.68137999999999</v>
      </c>
      <c r="H307" s="914" t="str">
        <f>'Marketing SoA'!G99</f>
        <v>2B3P</v>
      </c>
      <c r="I307" s="914">
        <f>'Marketing SoA'!H99</f>
        <v>2</v>
      </c>
      <c r="J307" s="914" t="str">
        <f>'Marketing SoA'!I99</f>
        <v>-</v>
      </c>
      <c r="K307" s="914" t="str">
        <f>'Marketing SoA'!J99</f>
        <v>On-site within MSCP</v>
      </c>
      <c r="L307" s="914" t="str">
        <f>'Marketing SoA'!K99</f>
        <v>Frontage Amenity</v>
      </c>
      <c r="M307" s="915">
        <f>'Marketing SoA'!L99</f>
        <v>123</v>
      </c>
      <c r="O307" s="1191"/>
      <c r="P307" s="1192"/>
      <c r="Q307" s="1192"/>
      <c r="R307" s="1192"/>
      <c r="S307" s="1193"/>
      <c r="U307" s="1135"/>
      <c r="V307" s="648" t="s">
        <v>52</v>
      </c>
      <c r="W307" s="480">
        <f>SUM(W303:W306)</f>
        <v>21</v>
      </c>
      <c r="X307" s="649">
        <f>SUM(X304:X306)</f>
        <v>1</v>
      </c>
      <c r="Y307" s="480">
        <f>SUM(Y303:Y306)</f>
        <v>6</v>
      </c>
      <c r="Z307" s="480">
        <f>SUM(Z303:Z306)</f>
        <v>0</v>
      </c>
      <c r="AA307" s="480">
        <f>SUM(AA303:AA306)</f>
        <v>0</v>
      </c>
      <c r="AB307" s="891">
        <f>SUM(W307:AA307)</f>
        <v>28</v>
      </c>
    </row>
    <row r="308" spans="1:28" ht="45.75" thickBot="1" x14ac:dyDescent="0.3">
      <c r="A308" s="1232"/>
      <c r="B308" s="1265"/>
      <c r="C308" s="914">
        <f>'Marketing SoA'!B100</f>
        <v>95</v>
      </c>
      <c r="D308" s="914" t="str">
        <f>'Marketing SoA'!C100</f>
        <v>House</v>
      </c>
      <c r="E308" s="914" t="str">
        <f>'Marketing SoA'!D100</f>
        <v>MT House</v>
      </c>
      <c r="F308" s="914">
        <f>'Marketing SoA'!E100</f>
        <v>80.3</v>
      </c>
      <c r="G308" s="955">
        <f>'Marketing SoA'!F100</f>
        <v>864.34116999999992</v>
      </c>
      <c r="H308" s="914" t="str">
        <f>'Marketing SoA'!G100</f>
        <v>2B4P</v>
      </c>
      <c r="I308" s="914">
        <f>'Marketing SoA'!H100</f>
        <v>2</v>
      </c>
      <c r="J308" s="914" t="str">
        <f>'Marketing SoA'!I100</f>
        <v>-</v>
      </c>
      <c r="K308" s="914" t="str">
        <f>'Marketing SoA'!J100</f>
        <v>On-plot Allocated Parking</v>
      </c>
      <c r="L308" s="914" t="str">
        <f>'Marketing SoA'!K100</f>
        <v>Frontage Amenity</v>
      </c>
      <c r="M308" s="915">
        <f>'Marketing SoA'!L100</f>
        <v>108</v>
      </c>
      <c r="O308" s="1191"/>
      <c r="P308" s="1192"/>
      <c r="Q308" s="1192"/>
      <c r="R308" s="1192"/>
      <c r="S308" s="1193"/>
      <c r="U308" s="1135"/>
    </row>
    <row r="309" spans="1:28" ht="30" x14ac:dyDescent="0.25">
      <c r="A309" s="1232"/>
      <c r="B309" s="1265"/>
      <c r="C309" s="914">
        <f>'Marketing SoA'!B101</f>
        <v>96</v>
      </c>
      <c r="D309" s="914" t="str">
        <f>'Marketing SoA'!C101</f>
        <v>House</v>
      </c>
      <c r="E309" s="914" t="str">
        <f>'Marketing SoA'!D101</f>
        <v>EoT House</v>
      </c>
      <c r="F309" s="914">
        <f>'Marketing SoA'!E101</f>
        <v>81</v>
      </c>
      <c r="G309" s="955">
        <f>'Marketing SoA'!F101</f>
        <v>871.8759</v>
      </c>
      <c r="H309" s="914" t="str">
        <f>'Marketing SoA'!G101</f>
        <v>3B5P</v>
      </c>
      <c r="I309" s="914">
        <f>'Marketing SoA'!H101</f>
        <v>3</v>
      </c>
      <c r="J309" s="914" t="str">
        <f>'Marketing SoA'!I101</f>
        <v>-</v>
      </c>
      <c r="K309" s="914" t="str">
        <f>'Marketing SoA'!J101</f>
        <v>Garage Parking space.</v>
      </c>
      <c r="L309" s="914" t="str">
        <f>'Marketing SoA'!K101</f>
        <v>Roof Terrace</v>
      </c>
      <c r="M309" s="915">
        <f>'Marketing SoA'!L101</f>
        <v>356</v>
      </c>
      <c r="O309" s="1191"/>
      <c r="P309" s="1192"/>
      <c r="Q309" s="1192"/>
      <c r="R309" s="1192"/>
      <c r="S309" s="1193"/>
      <c r="U309" s="1135"/>
      <c r="V309" s="1139" t="s">
        <v>413</v>
      </c>
      <c r="W309" s="1140"/>
      <c r="X309" s="1140"/>
      <c r="Y309" s="1140"/>
      <c r="Z309" s="1140"/>
      <c r="AA309" s="1141"/>
    </row>
    <row r="310" spans="1:28" ht="30" customHeight="1" x14ac:dyDescent="0.35">
      <c r="A310" s="1232"/>
      <c r="B310" s="1265"/>
      <c r="C310" s="914">
        <f>'Marketing SoA'!B102</f>
        <v>97</v>
      </c>
      <c r="D310" s="914" t="str">
        <f>'Marketing SoA'!C102</f>
        <v>House</v>
      </c>
      <c r="E310" s="914" t="str">
        <f>'Marketing SoA'!D102</f>
        <v>Semi-Detached House</v>
      </c>
      <c r="F310" s="914">
        <f>'Marketing SoA'!E102</f>
        <v>93.4</v>
      </c>
      <c r="G310" s="955">
        <f>'Marketing SoA'!F102</f>
        <v>1005.34826</v>
      </c>
      <c r="H310" s="914" t="str">
        <f>'Marketing SoA'!G102</f>
        <v>3B5P</v>
      </c>
      <c r="I310" s="914">
        <f>'Marketing SoA'!H102</f>
        <v>3</v>
      </c>
      <c r="J310" s="914" t="str">
        <f>'Marketing SoA'!I102</f>
        <v>-</v>
      </c>
      <c r="K310" s="914" t="str">
        <f>'Marketing SoA'!J102</f>
        <v>Garage Parking space.</v>
      </c>
      <c r="L310" s="914" t="str">
        <f>'Marketing SoA'!K102</f>
        <v>Roof Terrace</v>
      </c>
      <c r="M310" s="915">
        <f>'Marketing SoA'!L102</f>
        <v>489</v>
      </c>
      <c r="O310" s="1191"/>
      <c r="P310" s="1192"/>
      <c r="Q310" s="1192"/>
      <c r="R310" s="1192"/>
      <c r="S310" s="1193"/>
      <c r="U310" s="1135"/>
      <c r="V310" s="1142"/>
      <c r="W310" s="1143"/>
      <c r="X310" s="1143"/>
      <c r="Y310" s="1144"/>
      <c r="Z310" s="644" t="s">
        <v>243</v>
      </c>
      <c r="AA310" s="645" t="s">
        <v>242</v>
      </c>
    </row>
    <row r="311" spans="1:28" ht="45.75" thickBot="1" x14ac:dyDescent="0.3">
      <c r="A311" s="1232"/>
      <c r="B311" s="1265"/>
      <c r="C311" s="914">
        <f>'Marketing SoA'!B103</f>
        <v>98</v>
      </c>
      <c r="D311" s="914" t="str">
        <f>'Marketing SoA'!C103</f>
        <v>House</v>
      </c>
      <c r="E311" s="914" t="str">
        <f>'Marketing SoA'!D103</f>
        <v>Detached House</v>
      </c>
      <c r="F311" s="914">
        <f>'Marketing SoA'!E103</f>
        <v>179.6</v>
      </c>
      <c r="G311" s="955">
        <f>'Marketing SoA'!F103</f>
        <v>1933.1964399999999</v>
      </c>
      <c r="H311" s="914" t="str">
        <f>'Marketing SoA'!G103</f>
        <v>4B7P</v>
      </c>
      <c r="I311" s="914">
        <f>'Marketing SoA'!H103</f>
        <v>4</v>
      </c>
      <c r="J311" s="914" t="str">
        <f>'Marketing SoA'!I103</f>
        <v>Y</v>
      </c>
      <c r="K311" s="914" t="str">
        <f>'Marketing SoA'!J103</f>
        <v>On-plot Allocated Parking</v>
      </c>
      <c r="L311" s="914" t="str">
        <f>'Marketing SoA'!K103</f>
        <v>Private Rear Garden</v>
      </c>
      <c r="M311" s="915">
        <f>'Marketing SoA'!L103</f>
        <v>410</v>
      </c>
      <c r="O311" s="1191"/>
      <c r="P311" s="1192"/>
      <c r="Q311" s="1192"/>
      <c r="R311" s="1192"/>
      <c r="S311" s="1193"/>
      <c r="U311" s="1135"/>
      <c r="V311" s="1145" t="s">
        <v>640</v>
      </c>
      <c r="W311" s="1146"/>
      <c r="X311" s="1146"/>
      <c r="Y311" s="1147"/>
      <c r="Z311" s="776">
        <f>SUM(F301:F328)</f>
        <v>2632.6000000000004</v>
      </c>
      <c r="AA311" s="890">
        <f>SUM(Z311*10.764)</f>
        <v>28337.306400000001</v>
      </c>
    </row>
    <row r="312" spans="1:28" ht="30.75" thickBot="1" x14ac:dyDescent="0.3">
      <c r="A312" s="1232"/>
      <c r="B312" s="1265"/>
      <c r="C312" s="914">
        <f>'Marketing SoA'!B104</f>
        <v>99</v>
      </c>
      <c r="D312" s="914" t="str">
        <f>'Marketing SoA'!C104</f>
        <v>House</v>
      </c>
      <c r="E312" s="914" t="str">
        <f>'Marketing SoA'!D104</f>
        <v>EoT House</v>
      </c>
      <c r="F312" s="914">
        <f>'Marketing SoA'!E104</f>
        <v>83.1</v>
      </c>
      <c r="G312" s="955">
        <f>'Marketing SoA'!F104</f>
        <v>894.4800899999999</v>
      </c>
      <c r="H312" s="914" t="str">
        <f>'Marketing SoA'!G104</f>
        <v>3B4P</v>
      </c>
      <c r="I312" s="914">
        <f>'Marketing SoA'!H104</f>
        <v>3</v>
      </c>
      <c r="J312" s="914" t="str">
        <f>'Marketing SoA'!I104</f>
        <v>-</v>
      </c>
      <c r="K312" s="914" t="str">
        <f>'Marketing SoA'!J104</f>
        <v>Garage Parking space.</v>
      </c>
      <c r="L312" s="914" t="str">
        <f>'Marketing SoA'!K104</f>
        <v>Roof Terrace</v>
      </c>
      <c r="M312" s="915">
        <f>'Marketing SoA'!L104</f>
        <v>188</v>
      </c>
      <c r="O312" s="1191"/>
      <c r="P312" s="1192"/>
      <c r="Q312" s="1192"/>
      <c r="R312" s="1192"/>
      <c r="S312" s="1193"/>
      <c r="U312" s="1135"/>
      <c r="V312" s="1148" t="s">
        <v>414</v>
      </c>
      <c r="W312" s="1149"/>
      <c r="X312" s="1149"/>
      <c r="Y312" s="1149"/>
      <c r="Z312" s="647">
        <f>SUM(Z311:Z311)</f>
        <v>2632.6000000000004</v>
      </c>
      <c r="AA312" s="650">
        <f>SUM(AA311:AA311)</f>
        <v>28337.306400000001</v>
      </c>
    </row>
    <row r="313" spans="1:28" ht="45" x14ac:dyDescent="0.25">
      <c r="A313" s="1232"/>
      <c r="B313" s="1265"/>
      <c r="C313" s="914">
        <f>'Marketing SoA'!B105</f>
        <v>100</v>
      </c>
      <c r="D313" s="914" t="str">
        <f>'Marketing SoA'!C105</f>
        <v>House</v>
      </c>
      <c r="E313" s="914" t="str">
        <f>'Marketing SoA'!D105</f>
        <v>MT House</v>
      </c>
      <c r="F313" s="914">
        <f>'Marketing SoA'!E105</f>
        <v>95</v>
      </c>
      <c r="G313" s="955">
        <f>'Marketing SoA'!F105</f>
        <v>1022.5704999999999</v>
      </c>
      <c r="H313" s="914" t="str">
        <f>'Marketing SoA'!G105</f>
        <v>2B4P</v>
      </c>
      <c r="I313" s="914">
        <f>'Marketing SoA'!H105</f>
        <v>3</v>
      </c>
      <c r="J313" s="914" t="str">
        <f>'Marketing SoA'!I105</f>
        <v>-</v>
      </c>
      <c r="K313" s="914" t="str">
        <f>'Marketing SoA'!J105</f>
        <v>On-plot Allocated Parking</v>
      </c>
      <c r="L313" s="914" t="str">
        <f>'Marketing SoA'!K105</f>
        <v>Private Front Garden</v>
      </c>
      <c r="M313" s="915">
        <f>'Marketing SoA'!L105</f>
        <v>98</v>
      </c>
      <c r="O313" s="1191"/>
      <c r="P313" s="1192"/>
      <c r="Q313" s="1192"/>
      <c r="R313" s="1192"/>
      <c r="S313" s="1193"/>
    </row>
    <row r="314" spans="1:28" ht="45" x14ac:dyDescent="0.25">
      <c r="A314" s="1232"/>
      <c r="B314" s="1265"/>
      <c r="C314" s="914">
        <f>'Marketing SoA'!B106</f>
        <v>101</v>
      </c>
      <c r="D314" s="914" t="str">
        <f>'Marketing SoA'!C106</f>
        <v>House</v>
      </c>
      <c r="E314" s="914" t="str">
        <f>'Marketing SoA'!D106</f>
        <v>MT House</v>
      </c>
      <c r="F314" s="914">
        <f>'Marketing SoA'!E106</f>
        <v>95</v>
      </c>
      <c r="G314" s="955">
        <f>'Marketing SoA'!F106</f>
        <v>1022.5704999999999</v>
      </c>
      <c r="H314" s="914" t="str">
        <f>'Marketing SoA'!G106</f>
        <v>2B4P</v>
      </c>
      <c r="I314" s="914">
        <f>'Marketing SoA'!H106</f>
        <v>3</v>
      </c>
      <c r="J314" s="914" t="str">
        <f>'Marketing SoA'!I106</f>
        <v>-</v>
      </c>
      <c r="K314" s="914" t="str">
        <f>'Marketing SoA'!J106</f>
        <v>On-plot Allocated Parking</v>
      </c>
      <c r="L314" s="914" t="str">
        <f>'Marketing SoA'!K106</f>
        <v>Private Front Garden</v>
      </c>
      <c r="M314" s="915">
        <f>'Marketing SoA'!L106</f>
        <v>98</v>
      </c>
      <c r="O314" s="1191"/>
      <c r="P314" s="1192"/>
      <c r="Q314" s="1192"/>
      <c r="R314" s="1192"/>
      <c r="S314" s="1193"/>
    </row>
    <row r="315" spans="1:28" ht="30" x14ac:dyDescent="0.25">
      <c r="A315" s="1232"/>
      <c r="B315" s="1265"/>
      <c r="C315" s="914">
        <f>'Marketing SoA'!B107</f>
        <v>102</v>
      </c>
      <c r="D315" s="914" t="str">
        <f>'Marketing SoA'!C107</f>
        <v>House</v>
      </c>
      <c r="E315" s="914" t="str">
        <f>'Marketing SoA'!D107</f>
        <v>MT House</v>
      </c>
      <c r="F315" s="914">
        <f>'Marketing SoA'!E107</f>
        <v>83.1</v>
      </c>
      <c r="G315" s="955">
        <f>'Marketing SoA'!F107</f>
        <v>894.4800899999999</v>
      </c>
      <c r="H315" s="914" t="str">
        <f>'Marketing SoA'!G107</f>
        <v>3B4P</v>
      </c>
      <c r="I315" s="914">
        <f>'Marketing SoA'!H107</f>
        <v>3</v>
      </c>
      <c r="J315" s="914" t="str">
        <f>'Marketing SoA'!I107</f>
        <v>-</v>
      </c>
      <c r="K315" s="914" t="str">
        <f>'Marketing SoA'!J107</f>
        <v>Garage Parking space.</v>
      </c>
      <c r="L315" s="914" t="str">
        <f>'Marketing SoA'!K107</f>
        <v>Roof Terrace</v>
      </c>
      <c r="M315" s="915">
        <f>'Marketing SoA'!L107</f>
        <v>188</v>
      </c>
      <c r="O315" s="1191"/>
      <c r="P315" s="1192"/>
      <c r="Q315" s="1192"/>
      <c r="R315" s="1192"/>
      <c r="S315" s="1193"/>
    </row>
    <row r="316" spans="1:28" ht="45" x14ac:dyDescent="0.25">
      <c r="A316" s="1232"/>
      <c r="B316" s="1265"/>
      <c r="C316" s="914">
        <f>'Marketing SoA'!B108</f>
        <v>103</v>
      </c>
      <c r="D316" s="914" t="str">
        <f>'Marketing SoA'!C108</f>
        <v>House</v>
      </c>
      <c r="E316" s="914" t="str">
        <f>'Marketing SoA'!D108</f>
        <v>EoT House</v>
      </c>
      <c r="F316" s="914">
        <f>'Marketing SoA'!E108</f>
        <v>103.6</v>
      </c>
      <c r="G316" s="955">
        <f>'Marketing SoA'!F108</f>
        <v>1115.14004</v>
      </c>
      <c r="H316" s="914" t="str">
        <f>'Marketing SoA'!G108</f>
        <v>3B5P</v>
      </c>
      <c r="I316" s="914">
        <f>'Marketing SoA'!H108</f>
        <v>3</v>
      </c>
      <c r="J316" s="914" t="str">
        <f>'Marketing SoA'!I108</f>
        <v>-</v>
      </c>
      <c r="K316" s="914" t="str">
        <f>'Marketing SoA'!J108</f>
        <v>On-plot Allocated Parking</v>
      </c>
      <c r="L316" s="914" t="str">
        <f>'Marketing SoA'!K108</f>
        <v>Roof Terrace</v>
      </c>
      <c r="M316" s="915">
        <f>'Marketing SoA'!L108</f>
        <v>316</v>
      </c>
      <c r="O316" s="1191"/>
      <c r="P316" s="1192"/>
      <c r="Q316" s="1192"/>
      <c r="R316" s="1192"/>
      <c r="S316" s="1193"/>
    </row>
    <row r="317" spans="1:28" ht="45" x14ac:dyDescent="0.25">
      <c r="A317" s="1232"/>
      <c r="B317" s="1265"/>
      <c r="C317" s="914">
        <f>'Marketing SoA'!B109</f>
        <v>104</v>
      </c>
      <c r="D317" s="914" t="str">
        <f>'Marketing SoA'!C109</f>
        <v>House</v>
      </c>
      <c r="E317" s="914" t="str">
        <f>'Marketing SoA'!D109</f>
        <v>EoT House</v>
      </c>
      <c r="F317" s="914">
        <f>'Marketing SoA'!E109</f>
        <v>94.4</v>
      </c>
      <c r="G317" s="955">
        <f>'Marketing SoA'!F109</f>
        <v>1016.11216</v>
      </c>
      <c r="H317" s="914" t="str">
        <f>'Marketing SoA'!G109</f>
        <v>2B4P</v>
      </c>
      <c r="I317" s="914">
        <f>'Marketing SoA'!H109</f>
        <v>2</v>
      </c>
      <c r="J317" s="914" t="str">
        <f>'Marketing SoA'!I109</f>
        <v>-</v>
      </c>
      <c r="K317" s="914" t="str">
        <f>'Marketing SoA'!J109</f>
        <v>On-plot Allocated Parking</v>
      </c>
      <c r="L317" s="914" t="str">
        <f>'Marketing SoA'!K109</f>
        <v>Community Amenity</v>
      </c>
      <c r="M317" s="915" t="str">
        <f>'Marketing SoA'!L109</f>
        <v>-</v>
      </c>
      <c r="O317" s="1191"/>
      <c r="P317" s="1192"/>
      <c r="Q317" s="1192"/>
      <c r="R317" s="1192"/>
      <c r="S317" s="1193"/>
    </row>
    <row r="318" spans="1:28" ht="45" x14ac:dyDescent="0.25">
      <c r="A318" s="1232"/>
      <c r="B318" s="1265"/>
      <c r="C318" s="914">
        <f>'Marketing SoA'!B110</f>
        <v>105</v>
      </c>
      <c r="D318" s="914" t="str">
        <f>'Marketing SoA'!C110</f>
        <v>House</v>
      </c>
      <c r="E318" s="914" t="str">
        <f>'Marketing SoA'!D110</f>
        <v>MT House</v>
      </c>
      <c r="F318" s="914">
        <f>'Marketing SoA'!E110</f>
        <v>120.7</v>
      </c>
      <c r="G318" s="955">
        <f>'Marketing SoA'!F110</f>
        <v>1299.20273</v>
      </c>
      <c r="H318" s="914" t="str">
        <f>'Marketing SoA'!G110</f>
        <v>4B6P</v>
      </c>
      <c r="I318" s="914">
        <f>'Marketing SoA'!H110</f>
        <v>3</v>
      </c>
      <c r="J318" s="914" t="str">
        <f>'Marketing SoA'!I110</f>
        <v>-</v>
      </c>
      <c r="K318" s="914" t="str">
        <f>'Marketing SoA'!J110</f>
        <v>On-plot Allocated Parking</v>
      </c>
      <c r="L318" s="914" t="str">
        <f>'Marketing SoA'!K110</f>
        <v>Roof Terrace</v>
      </c>
      <c r="M318" s="915">
        <f>'Marketing SoA'!L110</f>
        <v>308</v>
      </c>
      <c r="O318" s="1191"/>
      <c r="P318" s="1192"/>
      <c r="Q318" s="1192"/>
      <c r="R318" s="1192"/>
      <c r="S318" s="1193"/>
    </row>
    <row r="319" spans="1:28" ht="30" x14ac:dyDescent="0.25">
      <c r="A319" s="1232"/>
      <c r="B319" s="1265"/>
      <c r="C319" s="914">
        <f>'Marketing SoA'!B111</f>
        <v>106</v>
      </c>
      <c r="D319" s="914" t="str">
        <f>'Marketing SoA'!C111</f>
        <v>House</v>
      </c>
      <c r="E319" s="914" t="str">
        <f>'Marketing SoA'!D111</f>
        <v>MT House</v>
      </c>
      <c r="F319" s="914">
        <f>'Marketing SoA'!E111</f>
        <v>89.4</v>
      </c>
      <c r="G319" s="955">
        <f>'Marketing SoA'!F111</f>
        <v>962.29266000000007</v>
      </c>
      <c r="H319" s="914" t="str">
        <f>'Marketing SoA'!G111</f>
        <v>3B4P</v>
      </c>
      <c r="I319" s="914">
        <f>'Marketing SoA'!H111</f>
        <v>3</v>
      </c>
      <c r="J319" s="914" t="str">
        <f>'Marketing SoA'!I111</f>
        <v>-</v>
      </c>
      <c r="K319" s="914" t="str">
        <f>'Marketing SoA'!J111</f>
        <v>On-site within MSCP</v>
      </c>
      <c r="L319" s="914" t="str">
        <f>'Marketing SoA'!K111</f>
        <v>Roof Terrace</v>
      </c>
      <c r="M319" s="915">
        <f>'Marketing SoA'!L111</f>
        <v>180</v>
      </c>
      <c r="O319" s="1191"/>
      <c r="P319" s="1192"/>
      <c r="Q319" s="1192"/>
      <c r="R319" s="1192"/>
      <c r="S319" s="1193"/>
    </row>
    <row r="320" spans="1:28" ht="134.25" customHeight="1" x14ac:dyDescent="0.25">
      <c r="A320" s="1232"/>
      <c r="B320" s="1265"/>
      <c r="C320" s="914">
        <f>'Marketing SoA'!B112</f>
        <v>107</v>
      </c>
      <c r="D320" s="914" t="str">
        <f>'Marketing SoA'!C112</f>
        <v>Coach House</v>
      </c>
      <c r="E320" s="914" t="str">
        <f>'Marketing SoA'!D112</f>
        <v>Coach House</v>
      </c>
      <c r="F320" s="914">
        <f>'Marketing SoA'!E112</f>
        <v>82.5</v>
      </c>
      <c r="G320" s="955">
        <f>'Marketing SoA'!F112</f>
        <v>888.02175</v>
      </c>
      <c r="H320" s="914" t="str">
        <f>'Marketing SoA'!G112</f>
        <v>2B3P</v>
      </c>
      <c r="I320" s="914">
        <f>'Marketing SoA'!H112</f>
        <v>2</v>
      </c>
      <c r="J320" s="914" t="str">
        <f>'Marketing SoA'!I112</f>
        <v>-</v>
      </c>
      <c r="K320" s="914" t="str">
        <f>'Marketing SoA'!J112</f>
        <v>On-site within MSCP</v>
      </c>
      <c r="L320" s="914" t="str">
        <f>'Marketing SoA'!K112</f>
        <v>Private Front Garden</v>
      </c>
      <c r="M320" s="915">
        <f>'Marketing SoA'!L112</f>
        <v>93</v>
      </c>
      <c r="O320" s="1191"/>
      <c r="P320" s="1192"/>
      <c r="Q320" s="1192"/>
      <c r="R320" s="1192"/>
      <c r="S320" s="1193"/>
    </row>
    <row r="321" spans="1:19" ht="45" x14ac:dyDescent="0.25">
      <c r="A321" s="1232"/>
      <c r="B321" s="1265"/>
      <c r="C321" s="914">
        <f>'Marketing SoA'!B113</f>
        <v>108</v>
      </c>
      <c r="D321" s="914" t="str">
        <f>'Marketing SoA'!C113</f>
        <v>House</v>
      </c>
      <c r="E321" s="914" t="str">
        <f>'Marketing SoA'!D113</f>
        <v>EoT House</v>
      </c>
      <c r="F321" s="914">
        <f>'Marketing SoA'!E113</f>
        <v>108</v>
      </c>
      <c r="G321" s="955">
        <f>'Marketing SoA'!F113</f>
        <v>1162.5011999999999</v>
      </c>
      <c r="H321" s="914" t="str">
        <f>'Marketing SoA'!G113</f>
        <v>3B5P</v>
      </c>
      <c r="I321" s="914">
        <f>'Marketing SoA'!H113</f>
        <v>3</v>
      </c>
      <c r="J321" s="914" t="str">
        <f>'Marketing SoA'!I113</f>
        <v>Y</v>
      </c>
      <c r="K321" s="914" t="str">
        <f>'Marketing SoA'!J113</f>
        <v>On-plot Allocated Parking</v>
      </c>
      <c r="L321" s="914" t="str">
        <f>'Marketing SoA'!K113</f>
        <v>Private Front Garden</v>
      </c>
      <c r="M321" s="915">
        <f>'Marketing SoA'!L113</f>
        <v>118</v>
      </c>
      <c r="O321" s="1191"/>
      <c r="P321" s="1192"/>
      <c r="Q321" s="1192"/>
      <c r="R321" s="1192"/>
      <c r="S321" s="1193"/>
    </row>
    <row r="322" spans="1:19" ht="45" x14ac:dyDescent="0.25">
      <c r="A322" s="1232"/>
      <c r="B322" s="1265"/>
      <c r="C322" s="914">
        <f>'Marketing SoA'!B114</f>
        <v>109</v>
      </c>
      <c r="D322" s="914" t="str">
        <f>'Marketing SoA'!C114</f>
        <v>House</v>
      </c>
      <c r="E322" s="914" t="str">
        <f>'Marketing SoA'!D114</f>
        <v>MT House</v>
      </c>
      <c r="F322" s="914">
        <f>'Marketing SoA'!E114</f>
        <v>108</v>
      </c>
      <c r="G322" s="955">
        <f>'Marketing SoA'!F114</f>
        <v>1162.5011999999999</v>
      </c>
      <c r="H322" s="914" t="str">
        <f>'Marketing SoA'!G114</f>
        <v>3B4P</v>
      </c>
      <c r="I322" s="914">
        <f>'Marketing SoA'!H114</f>
        <v>3</v>
      </c>
      <c r="J322" s="914" t="str">
        <f>'Marketing SoA'!I114</f>
        <v>-</v>
      </c>
      <c r="K322" s="914" t="str">
        <f>'Marketing SoA'!J114</f>
        <v>On-plot Allocated Parking</v>
      </c>
      <c r="L322" s="914" t="str">
        <f>'Marketing SoA'!K114</f>
        <v>Private Front Garden</v>
      </c>
      <c r="M322" s="915">
        <f>'Marketing SoA'!L114</f>
        <v>107</v>
      </c>
      <c r="O322" s="1191"/>
      <c r="P322" s="1192"/>
      <c r="Q322" s="1192"/>
      <c r="R322" s="1192"/>
      <c r="S322" s="1193"/>
    </row>
    <row r="323" spans="1:19" ht="30" customHeight="1" x14ac:dyDescent="0.25">
      <c r="A323" s="1232"/>
      <c r="B323" s="1265"/>
      <c r="C323" s="914">
        <f>'Marketing SoA'!B115</f>
        <v>110</v>
      </c>
      <c r="D323" s="914" t="str">
        <f>'Marketing SoA'!C115</f>
        <v>Duplex Maisonette</v>
      </c>
      <c r="E323" s="914" t="str">
        <f>'Marketing SoA'!D115</f>
        <v>GF DM</v>
      </c>
      <c r="F323" s="914">
        <f>'Marketing SoA'!E115</f>
        <v>72.900000000000006</v>
      </c>
      <c r="G323" s="955">
        <f>'Marketing SoA'!F115</f>
        <v>784.68831</v>
      </c>
      <c r="H323" s="914" t="str">
        <f>'Marketing SoA'!G115</f>
        <v>2B3P</v>
      </c>
      <c r="I323" s="914">
        <f>'Marketing SoA'!H115</f>
        <v>2</v>
      </c>
      <c r="J323" s="914" t="str">
        <f>'Marketing SoA'!I115</f>
        <v>-</v>
      </c>
      <c r="K323" s="914" t="str">
        <f>'Marketing SoA'!J115</f>
        <v>On-site within MSCP</v>
      </c>
      <c r="L323" s="914" t="str">
        <f>'Marketing SoA'!K115</f>
        <v>Private Front Garden</v>
      </c>
      <c r="M323" s="915">
        <f>'Marketing SoA'!L115</f>
        <v>38</v>
      </c>
      <c r="O323" s="1191"/>
      <c r="P323" s="1192"/>
      <c r="Q323" s="1192"/>
      <c r="R323" s="1192"/>
      <c r="S323" s="1193"/>
    </row>
    <row r="324" spans="1:19" ht="30" x14ac:dyDescent="0.25">
      <c r="A324" s="1232"/>
      <c r="B324" s="1265"/>
      <c r="C324" s="914">
        <f>'Marketing SoA'!B116</f>
        <v>111</v>
      </c>
      <c r="D324" s="914" t="str">
        <f>'Marketing SoA'!C116</f>
        <v>Duplex Maisonette</v>
      </c>
      <c r="E324" s="914" t="str">
        <f>'Marketing SoA'!D116</f>
        <v>SF DM</v>
      </c>
      <c r="F324" s="914">
        <f>'Marketing SoA'!E116</f>
        <v>72.900000000000006</v>
      </c>
      <c r="G324" s="955">
        <f>'Marketing SoA'!F116</f>
        <v>784.68831</v>
      </c>
      <c r="H324" s="914" t="str">
        <f>'Marketing SoA'!G116</f>
        <v>2B3P</v>
      </c>
      <c r="I324" s="914">
        <f>'Marketing SoA'!H116</f>
        <v>2</v>
      </c>
      <c r="J324" s="914" t="str">
        <f>'Marketing SoA'!I116</f>
        <v>-</v>
      </c>
      <c r="K324" s="914" t="str">
        <f>'Marketing SoA'!J116</f>
        <v>On-site within MSCP</v>
      </c>
      <c r="L324" s="914" t="str">
        <f>'Marketing SoA'!K116</f>
        <v>Roof Terrace</v>
      </c>
      <c r="M324" s="915">
        <f>'Marketing SoA'!L116</f>
        <v>95</v>
      </c>
      <c r="O324" s="1191"/>
      <c r="P324" s="1192"/>
      <c r="Q324" s="1192"/>
      <c r="R324" s="1192"/>
      <c r="S324" s="1193"/>
    </row>
    <row r="325" spans="1:19" ht="30" x14ac:dyDescent="0.25">
      <c r="A325" s="1232"/>
      <c r="B325" s="1265"/>
      <c r="C325" s="914">
        <f>'Marketing SoA'!B117</f>
        <v>112</v>
      </c>
      <c r="D325" s="914" t="str">
        <f>'Marketing SoA'!C117</f>
        <v>Duplex Maisonette</v>
      </c>
      <c r="E325" s="914" t="str">
        <f>'Marketing SoA'!D117</f>
        <v>SF DM</v>
      </c>
      <c r="F325" s="914">
        <f>'Marketing SoA'!E117</f>
        <v>100.4</v>
      </c>
      <c r="G325" s="955">
        <f>'Marketing SoA'!F117</f>
        <v>1080.6955600000001</v>
      </c>
      <c r="H325" s="914" t="str">
        <f>'Marketing SoA'!G117</f>
        <v>3B4P</v>
      </c>
      <c r="I325" s="914">
        <f>'Marketing SoA'!H117</f>
        <v>2</v>
      </c>
      <c r="J325" s="914" t="str">
        <f>'Marketing SoA'!I117</f>
        <v>Y</v>
      </c>
      <c r="K325" s="914" t="str">
        <f>'Marketing SoA'!J117</f>
        <v>On-site within MSCP</v>
      </c>
      <c r="L325" s="914" t="str">
        <f>'Marketing SoA'!K117</f>
        <v>Roof Terrace</v>
      </c>
      <c r="M325" s="915">
        <f>'Marketing SoA'!L117</f>
        <v>95</v>
      </c>
      <c r="O325" s="1191"/>
      <c r="P325" s="1192"/>
      <c r="Q325" s="1192"/>
      <c r="R325" s="1192"/>
      <c r="S325" s="1193"/>
    </row>
    <row r="326" spans="1:19" ht="30" x14ac:dyDescent="0.25">
      <c r="A326" s="1232"/>
      <c r="B326" s="1265"/>
      <c r="C326" s="914">
        <f>'Marketing SoA'!B118</f>
        <v>113</v>
      </c>
      <c r="D326" s="914" t="str">
        <f>'Marketing SoA'!C118</f>
        <v>Duplex Maisonette</v>
      </c>
      <c r="E326" s="914" t="str">
        <f>'Marketing SoA'!D118</f>
        <v>SF DM</v>
      </c>
      <c r="F326" s="914">
        <f>'Marketing SoA'!E118</f>
        <v>79.2</v>
      </c>
      <c r="G326" s="955">
        <f>'Marketing SoA'!F118</f>
        <v>852.50088000000005</v>
      </c>
      <c r="H326" s="914" t="str">
        <f>'Marketing SoA'!G118</f>
        <v>2B4P</v>
      </c>
      <c r="I326" s="914">
        <f>'Marketing SoA'!H118</f>
        <v>2</v>
      </c>
      <c r="J326" s="914" t="str">
        <f>'Marketing SoA'!I118</f>
        <v>-</v>
      </c>
      <c r="K326" s="914" t="str">
        <f>'Marketing SoA'!J118</f>
        <v>On-site within MSCP</v>
      </c>
      <c r="L326" s="914" t="str">
        <f>'Marketing SoA'!K118</f>
        <v>Balcony</v>
      </c>
      <c r="M326" s="915">
        <f>'Marketing SoA'!L118</f>
        <v>172</v>
      </c>
      <c r="O326" s="1191"/>
      <c r="P326" s="1192"/>
      <c r="Q326" s="1192"/>
      <c r="R326" s="1192"/>
      <c r="S326" s="1193"/>
    </row>
    <row r="327" spans="1:19" ht="45" x14ac:dyDescent="0.25">
      <c r="A327" s="1232"/>
      <c r="B327" s="1265"/>
      <c r="C327" s="914">
        <f>'Marketing SoA'!B119</f>
        <v>114</v>
      </c>
      <c r="D327" s="914" t="str">
        <f>'Marketing SoA'!C119</f>
        <v>Duplex Maisonette</v>
      </c>
      <c r="E327" s="914" t="str">
        <f>'Marketing SoA'!D119</f>
        <v>GF DM</v>
      </c>
      <c r="F327" s="914">
        <f>'Marketing SoA'!E119</f>
        <v>100.4</v>
      </c>
      <c r="G327" s="955">
        <f>'Marketing SoA'!F119</f>
        <v>1080.6955600000001</v>
      </c>
      <c r="H327" s="914" t="str">
        <f>'Marketing SoA'!G119</f>
        <v>3B4P</v>
      </c>
      <c r="I327" s="914">
        <f>'Marketing SoA'!H119</f>
        <v>2</v>
      </c>
      <c r="J327" s="914" t="str">
        <f>'Marketing SoA'!I119</f>
        <v>-</v>
      </c>
      <c r="K327" s="914" t="str">
        <f>'Marketing SoA'!J119</f>
        <v>On-plot Allocated Parking</v>
      </c>
      <c r="L327" s="914" t="str">
        <f>'Marketing SoA'!K119</f>
        <v>Frontage Amenity</v>
      </c>
      <c r="M327" s="915">
        <f>'Marketing SoA'!L119</f>
        <v>47</v>
      </c>
      <c r="O327" s="1191"/>
      <c r="P327" s="1192"/>
      <c r="Q327" s="1192"/>
      <c r="R327" s="1192"/>
      <c r="S327" s="1193"/>
    </row>
    <row r="328" spans="1:19" ht="45" x14ac:dyDescent="0.25">
      <c r="A328" s="1233"/>
      <c r="B328" s="1266"/>
      <c r="C328" s="916">
        <f>'Marketing SoA'!B120</f>
        <v>115</v>
      </c>
      <c r="D328" s="916" t="str">
        <f>'Marketing SoA'!C120</f>
        <v>Duplex Maisonette</v>
      </c>
      <c r="E328" s="916" t="str">
        <f>'Marketing SoA'!D120</f>
        <v>GF DM</v>
      </c>
      <c r="F328" s="916">
        <f>'Marketing SoA'!E120</f>
        <v>79</v>
      </c>
      <c r="G328" s="956">
        <f>'Marketing SoA'!F120</f>
        <v>850.34809999999993</v>
      </c>
      <c r="H328" s="916" t="str">
        <f>'Marketing SoA'!G120</f>
        <v>2B4P</v>
      </c>
      <c r="I328" s="916">
        <f>'Marketing SoA'!H120</f>
        <v>2</v>
      </c>
      <c r="J328" s="916" t="str">
        <f>'Marketing SoA'!I120</f>
        <v>-</v>
      </c>
      <c r="K328" s="916" t="str">
        <f>'Marketing SoA'!J120</f>
        <v>On-plot Allocated Parking</v>
      </c>
      <c r="L328" s="916" t="str">
        <f>'Marketing SoA'!K120</f>
        <v>Frontage Amenity</v>
      </c>
      <c r="M328" s="917">
        <f>'Marketing SoA'!L120</f>
        <v>85</v>
      </c>
      <c r="O328" s="1260"/>
      <c r="P328" s="1261"/>
      <c r="Q328" s="1261"/>
      <c r="R328" s="1261"/>
      <c r="S328" s="1262"/>
    </row>
  </sheetData>
  <mergeCells count="114">
    <mergeCell ref="A1:A3"/>
    <mergeCell ref="B27:B28"/>
    <mergeCell ref="B301:B328"/>
    <mergeCell ref="B135:B216"/>
    <mergeCell ref="A9:A28"/>
    <mergeCell ref="A32:A53"/>
    <mergeCell ref="A54:A80"/>
    <mergeCell ref="A126:A134"/>
    <mergeCell ref="A135:A226"/>
    <mergeCell ref="A227:A300"/>
    <mergeCell ref="B37:B53"/>
    <mergeCell ref="B81:B124"/>
    <mergeCell ref="B54:B80"/>
    <mergeCell ref="B227:B247"/>
    <mergeCell ref="B1:M1"/>
    <mergeCell ref="B2:M2"/>
    <mergeCell ref="B3:M3"/>
    <mergeCell ref="B4:B5"/>
    <mergeCell ref="C4:C5"/>
    <mergeCell ref="D4:E4"/>
    <mergeCell ref="F4:G4"/>
    <mergeCell ref="H4:H5"/>
    <mergeCell ref="I4:I5"/>
    <mergeCell ref="J4:J5"/>
    <mergeCell ref="C29:M31"/>
    <mergeCell ref="A6:A8"/>
    <mergeCell ref="B6:B8"/>
    <mergeCell ref="C6:M8"/>
    <mergeCell ref="P34:Q35"/>
    <mergeCell ref="A301:A328"/>
    <mergeCell ref="A4:A5"/>
    <mergeCell ref="B32:B36"/>
    <mergeCell ref="A29:A31"/>
    <mergeCell ref="B29:B31"/>
    <mergeCell ref="B248:B300"/>
    <mergeCell ref="B23:B26"/>
    <mergeCell ref="B126:B134"/>
    <mergeCell ref="B217:B226"/>
    <mergeCell ref="A81:A125"/>
    <mergeCell ref="B9:B13"/>
    <mergeCell ref="B14:B22"/>
    <mergeCell ref="K4:K5"/>
    <mergeCell ref="L4:L5"/>
    <mergeCell ref="M4:M5"/>
    <mergeCell ref="O231:S328"/>
    <mergeCell ref="O36:S226"/>
    <mergeCell ref="O1:S2"/>
    <mergeCell ref="O227:O230"/>
    <mergeCell ref="P227:Q230"/>
    <mergeCell ref="R227:R230"/>
    <mergeCell ref="S227:S230"/>
    <mergeCell ref="O4:O5"/>
    <mergeCell ref="S4:S5"/>
    <mergeCell ref="R4:R5"/>
    <mergeCell ref="P4:Q5"/>
    <mergeCell ref="O12:S31"/>
    <mergeCell ref="S32:S33"/>
    <mergeCell ref="P32:Q33"/>
    <mergeCell ref="S34:S35"/>
    <mergeCell ref="R34:R35"/>
    <mergeCell ref="O3:S3"/>
    <mergeCell ref="O6:S8"/>
    <mergeCell ref="O32:O35"/>
    <mergeCell ref="R32:R33"/>
    <mergeCell ref="P9:Q9"/>
    <mergeCell ref="P10:Q10"/>
    <mergeCell ref="P11:Q11"/>
    <mergeCell ref="O9:O11"/>
    <mergeCell ref="V65:Y65"/>
    <mergeCell ref="U4:AB5"/>
    <mergeCell ref="U9:U21"/>
    <mergeCell ref="U32:U44"/>
    <mergeCell ref="U54:U65"/>
    <mergeCell ref="V54:AB54"/>
    <mergeCell ref="V62:AA62"/>
    <mergeCell ref="V63:Y63"/>
    <mergeCell ref="V64:Y64"/>
    <mergeCell ref="V40:AA40"/>
    <mergeCell ref="V41:Y41"/>
    <mergeCell ref="V42:Y42"/>
    <mergeCell ref="V43:Y43"/>
    <mergeCell ref="V44:Y44"/>
    <mergeCell ref="V32:AB32"/>
    <mergeCell ref="V19:Y19"/>
    <mergeCell ref="V20:Y20"/>
    <mergeCell ref="V21:Y21"/>
    <mergeCell ref="V9:AB9"/>
    <mergeCell ref="V17:AA17"/>
    <mergeCell ref="V18:Y18"/>
    <mergeCell ref="U135:U146"/>
    <mergeCell ref="V135:AB135"/>
    <mergeCell ref="V143:AA143"/>
    <mergeCell ref="V144:Y144"/>
    <mergeCell ref="V145:Y145"/>
    <mergeCell ref="V146:Y146"/>
    <mergeCell ref="U81:U92"/>
    <mergeCell ref="V81:AB81"/>
    <mergeCell ref="V89:AA89"/>
    <mergeCell ref="V90:Y90"/>
    <mergeCell ref="V91:Y91"/>
    <mergeCell ref="V92:Y92"/>
    <mergeCell ref="U301:U312"/>
    <mergeCell ref="V301:AB301"/>
    <mergeCell ref="V309:AA309"/>
    <mergeCell ref="V310:Y310"/>
    <mergeCell ref="V311:Y311"/>
    <mergeCell ref="V312:Y312"/>
    <mergeCell ref="U227:U239"/>
    <mergeCell ref="V227:AB227"/>
    <mergeCell ref="V235:AA235"/>
    <mergeCell ref="V236:Y236"/>
    <mergeCell ref="V237:Y237"/>
    <mergeCell ref="V238:Y238"/>
    <mergeCell ref="V239:Y239"/>
  </mergeCells>
  <pageMargins left="0.7" right="0.7" top="0.75" bottom="0.75" header="0.3" footer="0.3"/>
  <pageSetup paperSize="8" scale="53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51C1C-4AF7-4C4D-8110-DCEA7CBB026E}">
  <sheetPr>
    <pageSetUpPr fitToPage="1"/>
  </sheetPr>
  <dimension ref="E1:N83"/>
  <sheetViews>
    <sheetView topLeftCell="A23" zoomScale="70" zoomScaleNormal="70" workbookViewId="0">
      <selection activeCell="N23" sqref="N23"/>
    </sheetView>
  </sheetViews>
  <sheetFormatPr defaultRowHeight="15" x14ac:dyDescent="0.25"/>
  <cols>
    <col min="3" max="4" width="9.140625" customWidth="1"/>
    <col min="5" max="5" width="42.85546875" customWidth="1"/>
    <col min="6" max="16" width="14.7109375" customWidth="1"/>
    <col min="17" max="17" width="20.7109375" customWidth="1"/>
    <col min="18" max="21" width="15.7109375" customWidth="1"/>
    <col min="22" max="24" width="14.7109375" customWidth="1"/>
  </cols>
  <sheetData>
    <row r="1" spans="5:14" ht="15" customHeight="1" x14ac:dyDescent="0.25"/>
    <row r="2" spans="5:14" ht="15" customHeight="1" thickBot="1" x14ac:dyDescent="0.3"/>
    <row r="3" spans="5:14" ht="15.75" customHeight="1" x14ac:dyDescent="0.25">
      <c r="E3" s="1818" t="s">
        <v>641</v>
      </c>
      <c r="F3" s="1821" t="s">
        <v>92</v>
      </c>
      <c r="G3" s="1821"/>
      <c r="H3" s="1821"/>
      <c r="I3" s="1821"/>
      <c r="J3" s="1821"/>
      <c r="K3" s="1821"/>
      <c r="L3" s="1821"/>
      <c r="M3" s="1821"/>
      <c r="N3" s="1822"/>
    </row>
    <row r="4" spans="5:14" ht="21" customHeight="1" x14ac:dyDescent="0.25">
      <c r="E4" s="1819"/>
      <c r="F4" s="1823"/>
      <c r="G4" s="1823"/>
      <c r="H4" s="1823"/>
      <c r="I4" s="1823"/>
      <c r="J4" s="1823"/>
      <c r="K4" s="1823"/>
      <c r="L4" s="1823"/>
      <c r="M4" s="1823"/>
      <c r="N4" s="1824"/>
    </row>
    <row r="5" spans="5:14" ht="15.75" customHeight="1" x14ac:dyDescent="0.25">
      <c r="E5" s="1819"/>
      <c r="F5" s="1825" t="s">
        <v>642</v>
      </c>
      <c r="G5" s="1826"/>
      <c r="H5" s="1826"/>
      <c r="I5" s="1826"/>
      <c r="J5" s="1826"/>
      <c r="K5" s="1826"/>
      <c r="L5" s="1826"/>
      <c r="M5" s="1827"/>
      <c r="N5" s="1831" t="s">
        <v>292</v>
      </c>
    </row>
    <row r="6" spans="5:14" ht="15.75" customHeight="1" x14ac:dyDescent="0.25">
      <c r="E6" s="1820"/>
      <c r="F6" s="1828"/>
      <c r="G6" s="1829"/>
      <c r="H6" s="1829"/>
      <c r="I6" s="1829"/>
      <c r="J6" s="1829"/>
      <c r="K6" s="1829"/>
      <c r="L6" s="1829"/>
      <c r="M6" s="1830"/>
      <c r="N6" s="1832"/>
    </row>
    <row r="7" spans="5:14" ht="44.25" customHeight="1" thickBot="1" x14ac:dyDescent="0.3">
      <c r="E7" s="960" t="s">
        <v>643</v>
      </c>
      <c r="F7" s="961" t="s">
        <v>89</v>
      </c>
      <c r="G7" s="962" t="s">
        <v>20</v>
      </c>
      <c r="H7" s="963" t="s">
        <v>21</v>
      </c>
      <c r="I7" s="964" t="s">
        <v>273</v>
      </c>
      <c r="J7" s="962" t="s">
        <v>644</v>
      </c>
      <c r="K7" s="964" t="s">
        <v>604</v>
      </c>
      <c r="L7" s="964" t="s">
        <v>272</v>
      </c>
      <c r="M7" s="965" t="s">
        <v>26</v>
      </c>
      <c r="N7" s="1833"/>
    </row>
    <row r="8" spans="5:14" x14ac:dyDescent="0.25">
      <c r="E8" s="941" t="s">
        <v>645</v>
      </c>
      <c r="F8" s="939">
        <v>2</v>
      </c>
      <c r="G8" s="767"/>
      <c r="H8" s="767"/>
      <c r="I8" s="767"/>
      <c r="J8" s="767"/>
      <c r="K8" s="767"/>
      <c r="L8" s="767">
        <v>7</v>
      </c>
      <c r="M8" s="966"/>
      <c r="N8" s="967">
        <f t="shared" ref="N8:N13" si="0">SUM(F8:M8)</f>
        <v>9</v>
      </c>
    </row>
    <row r="9" spans="5:14" x14ac:dyDescent="0.25">
      <c r="E9" s="968" t="s">
        <v>646</v>
      </c>
      <c r="F9" s="969">
        <v>8</v>
      </c>
      <c r="G9" s="751">
        <v>1</v>
      </c>
      <c r="H9" s="751">
        <v>2</v>
      </c>
      <c r="I9" s="751"/>
      <c r="J9" s="751"/>
      <c r="K9" s="751"/>
      <c r="L9" s="751">
        <v>5</v>
      </c>
      <c r="M9" s="970"/>
      <c r="N9" s="967">
        <f t="shared" si="0"/>
        <v>16</v>
      </c>
    </row>
    <row r="10" spans="5:14" x14ac:dyDescent="0.25">
      <c r="E10" s="968" t="s">
        <v>647</v>
      </c>
      <c r="F10" s="969">
        <v>8</v>
      </c>
      <c r="G10" s="751"/>
      <c r="H10" s="751">
        <v>18</v>
      </c>
      <c r="I10" s="751"/>
      <c r="J10" s="751">
        <v>9</v>
      </c>
      <c r="K10" s="751"/>
      <c r="L10" s="751"/>
      <c r="M10" s="970">
        <v>22</v>
      </c>
      <c r="N10" s="967">
        <f t="shared" si="0"/>
        <v>57</v>
      </c>
    </row>
    <row r="11" spans="5:14" x14ac:dyDescent="0.25">
      <c r="E11" s="968" t="s">
        <v>648</v>
      </c>
      <c r="F11" s="969"/>
      <c r="G11" s="751">
        <v>2</v>
      </c>
      <c r="H11" s="751"/>
      <c r="I11" s="751"/>
      <c r="J11" s="751"/>
      <c r="K11" s="751"/>
      <c r="L11" s="751"/>
      <c r="M11" s="970"/>
      <c r="N11" s="967">
        <f t="shared" si="0"/>
        <v>2</v>
      </c>
    </row>
    <row r="12" spans="5:14" x14ac:dyDescent="0.25">
      <c r="E12" s="968" t="s">
        <v>649</v>
      </c>
      <c r="F12" s="969"/>
      <c r="G12" s="751">
        <v>1</v>
      </c>
      <c r="H12" s="751">
        <v>9</v>
      </c>
      <c r="I12" s="751"/>
      <c r="J12" s="751">
        <v>10</v>
      </c>
      <c r="K12" s="751"/>
      <c r="L12" s="751"/>
      <c r="M12" s="970"/>
      <c r="N12" s="967">
        <f t="shared" si="0"/>
        <v>20</v>
      </c>
    </row>
    <row r="13" spans="5:14" ht="15.75" thickBot="1" x14ac:dyDescent="0.3">
      <c r="E13" s="971" t="s">
        <v>650</v>
      </c>
      <c r="F13" s="972"/>
      <c r="G13" s="973">
        <v>9</v>
      </c>
      <c r="H13" s="973"/>
      <c r="I13" s="973">
        <v>20</v>
      </c>
      <c r="J13" s="973"/>
      <c r="K13" s="973"/>
      <c r="L13" s="973">
        <v>5</v>
      </c>
      <c r="M13" s="974"/>
      <c r="N13" s="975">
        <f t="shared" si="0"/>
        <v>34</v>
      </c>
    </row>
    <row r="14" spans="5:14" ht="17.25" thickBot="1" x14ac:dyDescent="0.4">
      <c r="E14" s="976" t="s">
        <v>52</v>
      </c>
      <c r="F14" s="977">
        <f t="shared" ref="F14:N14" si="1">SUM(F8:F13)</f>
        <v>18</v>
      </c>
      <c r="G14" s="978">
        <f t="shared" si="1"/>
        <v>13</v>
      </c>
      <c r="H14" s="979">
        <f t="shared" si="1"/>
        <v>29</v>
      </c>
      <c r="I14" s="977">
        <f t="shared" si="1"/>
        <v>20</v>
      </c>
      <c r="J14" s="978">
        <f t="shared" si="1"/>
        <v>19</v>
      </c>
      <c r="K14" s="978">
        <f t="shared" si="1"/>
        <v>0</v>
      </c>
      <c r="L14" s="979">
        <f t="shared" si="1"/>
        <v>17</v>
      </c>
      <c r="M14" s="980">
        <f t="shared" si="1"/>
        <v>22</v>
      </c>
      <c r="N14" s="547">
        <f t="shared" si="1"/>
        <v>138</v>
      </c>
    </row>
    <row r="15" spans="5:14" ht="45.75" customHeight="1" thickBot="1" x14ac:dyDescent="0.3">
      <c r="E15" s="981" t="s">
        <v>651</v>
      </c>
      <c r="F15" s="961" t="s">
        <v>89</v>
      </c>
      <c r="G15" s="962" t="s">
        <v>20</v>
      </c>
      <c r="H15" s="963" t="s">
        <v>21</v>
      </c>
      <c r="I15" s="964" t="s">
        <v>273</v>
      </c>
      <c r="J15" s="962" t="s">
        <v>644</v>
      </c>
      <c r="K15" s="964" t="s">
        <v>604</v>
      </c>
      <c r="L15" s="964" t="s">
        <v>272</v>
      </c>
      <c r="M15" s="965" t="s">
        <v>26</v>
      </c>
      <c r="N15" s="982" t="s">
        <v>292</v>
      </c>
    </row>
    <row r="16" spans="5:14" x14ac:dyDescent="0.25">
      <c r="E16" s="941" t="s">
        <v>652</v>
      </c>
      <c r="F16" s="939"/>
      <c r="G16" s="767"/>
      <c r="H16" s="767"/>
      <c r="I16" s="767"/>
      <c r="J16" s="767"/>
      <c r="K16" s="767">
        <v>2</v>
      </c>
      <c r="L16" s="767"/>
      <c r="M16" s="966">
        <v>2</v>
      </c>
      <c r="N16" s="967">
        <f t="shared" ref="N16:N18" si="2">SUM(F16:M16)</f>
        <v>4</v>
      </c>
    </row>
    <row r="17" spans="5:14" x14ac:dyDescent="0.25">
      <c r="E17" s="968" t="s">
        <v>653</v>
      </c>
      <c r="F17" s="969"/>
      <c r="G17" s="751"/>
      <c r="H17" s="751"/>
      <c r="I17" s="751"/>
      <c r="J17" s="751"/>
      <c r="K17" s="751">
        <v>2</v>
      </c>
      <c r="L17" s="751"/>
      <c r="M17" s="970">
        <v>2</v>
      </c>
      <c r="N17" s="967">
        <f t="shared" si="2"/>
        <v>4</v>
      </c>
    </row>
    <row r="18" spans="5:14" ht="15.75" thickBot="1" x14ac:dyDescent="0.3">
      <c r="E18" s="940" t="s">
        <v>654</v>
      </c>
      <c r="F18" s="983"/>
      <c r="G18" s="973"/>
      <c r="H18" s="973"/>
      <c r="I18" s="973"/>
      <c r="J18" s="973"/>
      <c r="K18" s="973">
        <v>1</v>
      </c>
      <c r="L18" s="973"/>
      <c r="M18" s="974"/>
      <c r="N18" s="984">
        <f t="shared" si="2"/>
        <v>1</v>
      </c>
    </row>
    <row r="19" spans="5:14" ht="17.25" thickBot="1" x14ac:dyDescent="0.4">
      <c r="E19" s="985" t="s">
        <v>52</v>
      </c>
      <c r="F19" s="986">
        <f t="shared" ref="F19:N19" si="3">SUM(F16:F18)</f>
        <v>0</v>
      </c>
      <c r="G19" s="979">
        <f t="shared" si="3"/>
        <v>0</v>
      </c>
      <c r="H19" s="979">
        <f t="shared" si="3"/>
        <v>0</v>
      </c>
      <c r="I19" s="977">
        <f t="shared" si="3"/>
        <v>0</v>
      </c>
      <c r="J19" s="978">
        <f t="shared" si="3"/>
        <v>0</v>
      </c>
      <c r="K19" s="978">
        <f t="shared" si="3"/>
        <v>5</v>
      </c>
      <c r="L19" s="977">
        <f t="shared" si="3"/>
        <v>0</v>
      </c>
      <c r="M19" s="987">
        <f t="shared" si="3"/>
        <v>4</v>
      </c>
      <c r="N19" s="988">
        <f t="shared" si="3"/>
        <v>9</v>
      </c>
    </row>
    <row r="23" spans="5:14" x14ac:dyDescent="0.25">
      <c r="F23" t="s">
        <v>655</v>
      </c>
    </row>
    <row r="33" spans="5:14" ht="15.75" thickBot="1" x14ac:dyDescent="0.3"/>
    <row r="34" spans="5:14" x14ac:dyDescent="0.25">
      <c r="E34" s="1818" t="s">
        <v>656</v>
      </c>
      <c r="F34" s="1821" t="s">
        <v>92</v>
      </c>
      <c r="G34" s="1821"/>
      <c r="H34" s="1821"/>
      <c r="I34" s="1821"/>
      <c r="J34" s="1821"/>
      <c r="K34" s="1821"/>
      <c r="L34" s="1821"/>
      <c r="M34" s="1821"/>
      <c r="N34" s="1822"/>
    </row>
    <row r="35" spans="5:14" x14ac:dyDescent="0.25">
      <c r="E35" s="1819"/>
      <c r="F35" s="1823"/>
      <c r="G35" s="1823"/>
      <c r="H35" s="1823"/>
      <c r="I35" s="1823"/>
      <c r="J35" s="1823"/>
      <c r="K35" s="1823"/>
      <c r="L35" s="1823"/>
      <c r="M35" s="1823"/>
      <c r="N35" s="1824"/>
    </row>
    <row r="36" spans="5:14" x14ac:dyDescent="0.25">
      <c r="E36" s="1819"/>
      <c r="F36" s="1825" t="s">
        <v>642</v>
      </c>
      <c r="G36" s="1826"/>
      <c r="H36" s="1826"/>
      <c r="I36" s="1826"/>
      <c r="J36" s="1826"/>
      <c r="K36" s="1826"/>
      <c r="L36" s="1826"/>
      <c r="M36" s="1827"/>
      <c r="N36" s="1831" t="s">
        <v>292</v>
      </c>
    </row>
    <row r="37" spans="5:14" x14ac:dyDescent="0.25">
      <c r="E37" s="1820"/>
      <c r="F37" s="1828"/>
      <c r="G37" s="1829"/>
      <c r="H37" s="1829"/>
      <c r="I37" s="1829"/>
      <c r="J37" s="1829"/>
      <c r="K37" s="1829"/>
      <c r="L37" s="1829"/>
      <c r="M37" s="1830"/>
      <c r="N37" s="1832"/>
    </row>
    <row r="38" spans="5:14" ht="54.75" customHeight="1" thickBot="1" x14ac:dyDescent="0.3">
      <c r="E38" s="960" t="s">
        <v>657</v>
      </c>
      <c r="F38" s="961" t="s">
        <v>89</v>
      </c>
      <c r="G38" s="962" t="s">
        <v>20</v>
      </c>
      <c r="H38" s="963" t="s">
        <v>21</v>
      </c>
      <c r="I38" s="964" t="s">
        <v>273</v>
      </c>
      <c r="J38" s="962" t="s">
        <v>644</v>
      </c>
      <c r="K38" s="964" t="s">
        <v>604</v>
      </c>
      <c r="L38" s="964" t="s">
        <v>272</v>
      </c>
      <c r="M38" s="965" t="s">
        <v>26</v>
      </c>
      <c r="N38" s="1833"/>
    </row>
    <row r="39" spans="5:14" x14ac:dyDescent="0.25">
      <c r="E39" s="941" t="s">
        <v>658</v>
      </c>
      <c r="F39" s="939">
        <v>7</v>
      </c>
      <c r="G39" s="767">
        <v>2</v>
      </c>
      <c r="H39" s="767">
        <v>5</v>
      </c>
      <c r="I39" s="767">
        <v>4</v>
      </c>
      <c r="J39" s="767">
        <v>1</v>
      </c>
      <c r="K39" s="767"/>
      <c r="L39" s="767"/>
      <c r="M39" s="966"/>
      <c r="N39" s="967">
        <f t="shared" ref="N39:N42" si="4">SUM(F39:M39)</f>
        <v>19</v>
      </c>
    </row>
    <row r="40" spans="5:14" x14ac:dyDescent="0.25">
      <c r="E40" s="968" t="s">
        <v>659</v>
      </c>
      <c r="F40" s="969">
        <v>1</v>
      </c>
      <c r="G40" s="751">
        <v>1</v>
      </c>
      <c r="H40" s="751">
        <v>3</v>
      </c>
      <c r="I40" s="751">
        <v>3</v>
      </c>
      <c r="J40" s="751"/>
      <c r="K40" s="751">
        <v>5</v>
      </c>
      <c r="L40" s="751"/>
      <c r="M40" s="970"/>
      <c r="N40" s="967">
        <f t="shared" si="4"/>
        <v>13</v>
      </c>
    </row>
    <row r="41" spans="5:14" x14ac:dyDescent="0.25">
      <c r="E41" s="968" t="s">
        <v>660</v>
      </c>
      <c r="F41" s="969"/>
      <c r="G41" s="751">
        <v>4</v>
      </c>
      <c r="H41" s="751">
        <v>5</v>
      </c>
      <c r="I41" s="751">
        <v>2</v>
      </c>
      <c r="J41" s="751">
        <v>6</v>
      </c>
      <c r="K41" s="751">
        <v>4</v>
      </c>
      <c r="L41" s="751"/>
      <c r="M41" s="970"/>
      <c r="N41" s="967">
        <f t="shared" si="4"/>
        <v>21</v>
      </c>
    </row>
    <row r="42" spans="5:14" x14ac:dyDescent="0.25">
      <c r="E42" s="968" t="s">
        <v>661</v>
      </c>
      <c r="F42" s="969"/>
      <c r="G42" s="751">
        <v>2</v>
      </c>
      <c r="H42" s="751">
        <v>3</v>
      </c>
      <c r="I42" s="751">
        <v>2</v>
      </c>
      <c r="J42" s="751">
        <v>10</v>
      </c>
      <c r="K42" s="751">
        <v>1</v>
      </c>
      <c r="L42" s="751"/>
      <c r="M42" s="970"/>
      <c r="N42" s="967">
        <f t="shared" si="4"/>
        <v>18</v>
      </c>
    </row>
    <row r="43" spans="5:14" x14ac:dyDescent="0.25">
      <c r="E43" s="940" t="s">
        <v>662</v>
      </c>
      <c r="F43" s="989"/>
      <c r="G43" s="751">
        <v>2</v>
      </c>
      <c r="H43" s="751"/>
      <c r="I43" s="751"/>
      <c r="J43" s="751">
        <v>7</v>
      </c>
      <c r="K43" s="751"/>
      <c r="L43" s="751"/>
      <c r="M43" s="970"/>
      <c r="N43" s="990">
        <f>SUM(F43:M43)</f>
        <v>9</v>
      </c>
    </row>
    <row r="44" spans="5:14" x14ac:dyDescent="0.25">
      <c r="E44" s="968" t="s">
        <v>663</v>
      </c>
      <c r="F44" s="991">
        <v>1</v>
      </c>
      <c r="G44" s="767">
        <v>1</v>
      </c>
      <c r="H44" s="992"/>
      <c r="I44" s="992"/>
      <c r="J44" s="992"/>
      <c r="K44" s="992"/>
      <c r="L44" s="992"/>
      <c r="M44" s="993"/>
      <c r="N44" s="994">
        <f t="shared" ref="N44:N46" si="5">SUM(F44:M44)</f>
        <v>2</v>
      </c>
    </row>
    <row r="45" spans="5:14" x14ac:dyDescent="0.25">
      <c r="E45" s="398" t="s">
        <v>664</v>
      </c>
      <c r="F45" s="995"/>
      <c r="G45" s="992"/>
      <c r="H45" s="996">
        <v>2</v>
      </c>
      <c r="I45" s="997"/>
      <c r="J45" s="997"/>
      <c r="K45" s="997"/>
      <c r="L45" s="997"/>
      <c r="M45" s="993"/>
      <c r="N45" s="994">
        <f t="shared" si="5"/>
        <v>2</v>
      </c>
    </row>
    <row r="46" spans="5:14" ht="15.75" thickBot="1" x14ac:dyDescent="0.3">
      <c r="E46" s="971" t="s">
        <v>665</v>
      </c>
      <c r="F46" s="998"/>
      <c r="G46" s="999"/>
      <c r="H46" s="1000"/>
      <c r="I46" s="1001">
        <v>1</v>
      </c>
      <c r="J46" s="1001">
        <v>4</v>
      </c>
      <c r="K46" s="1001">
        <v>4</v>
      </c>
      <c r="L46" s="1002"/>
      <c r="M46" s="1003"/>
      <c r="N46" s="1004">
        <f t="shared" si="5"/>
        <v>9</v>
      </c>
    </row>
    <row r="47" spans="5:14" ht="17.25" thickBot="1" x14ac:dyDescent="0.4">
      <c r="E47" s="976" t="s">
        <v>99</v>
      </c>
      <c r="F47" s="1005">
        <f>SUM(F39:F46)</f>
        <v>9</v>
      </c>
      <c r="G47" s="1006">
        <f t="shared" ref="G47:N47" si="6">SUM(G39:G46)</f>
        <v>12</v>
      </c>
      <c r="H47" s="978">
        <f t="shared" si="6"/>
        <v>18</v>
      </c>
      <c r="I47" s="979">
        <f t="shared" si="6"/>
        <v>12</v>
      </c>
      <c r="J47" s="979">
        <f t="shared" si="6"/>
        <v>28</v>
      </c>
      <c r="K47" s="979">
        <f t="shared" si="6"/>
        <v>14</v>
      </c>
      <c r="L47" s="978">
        <f t="shared" si="6"/>
        <v>0</v>
      </c>
      <c r="M47" s="1007">
        <f t="shared" si="6"/>
        <v>0</v>
      </c>
      <c r="N47" s="1008">
        <f t="shared" si="6"/>
        <v>93</v>
      </c>
    </row>
    <row r="48" spans="5:14" ht="49.5" customHeight="1" thickBot="1" x14ac:dyDescent="0.3">
      <c r="E48" s="981" t="s">
        <v>666</v>
      </c>
      <c r="F48" s="961" t="s">
        <v>89</v>
      </c>
      <c r="G48" s="962" t="s">
        <v>20</v>
      </c>
      <c r="H48" s="963" t="s">
        <v>21</v>
      </c>
      <c r="I48" s="964" t="s">
        <v>273</v>
      </c>
      <c r="J48" s="962" t="s">
        <v>644</v>
      </c>
      <c r="K48" s="964" t="s">
        <v>604</v>
      </c>
      <c r="L48" s="964" t="s">
        <v>272</v>
      </c>
      <c r="M48" s="965" t="s">
        <v>26</v>
      </c>
      <c r="N48" s="982" t="s">
        <v>292</v>
      </c>
    </row>
    <row r="49" spans="5:14" x14ac:dyDescent="0.25">
      <c r="E49" s="941" t="s">
        <v>659</v>
      </c>
      <c r="F49" s="939"/>
      <c r="G49" s="767"/>
      <c r="H49" s="767"/>
      <c r="I49" s="767"/>
      <c r="J49" s="767">
        <v>1</v>
      </c>
      <c r="K49" s="767"/>
      <c r="L49" s="767"/>
      <c r="M49" s="966"/>
      <c r="N49" s="967">
        <f t="shared" ref="N49:N52" si="7">SUM(F49:M49)</f>
        <v>1</v>
      </c>
    </row>
    <row r="50" spans="5:14" x14ac:dyDescent="0.25">
      <c r="E50" s="968" t="s">
        <v>662</v>
      </c>
      <c r="F50" s="969"/>
      <c r="G50" s="751"/>
      <c r="H50" s="751"/>
      <c r="I50" s="751"/>
      <c r="J50" s="751"/>
      <c r="K50" s="751">
        <v>2</v>
      </c>
      <c r="L50" s="751"/>
      <c r="M50" s="970"/>
      <c r="N50" s="967">
        <f t="shared" si="7"/>
        <v>2</v>
      </c>
    </row>
    <row r="51" spans="5:14" x14ac:dyDescent="0.25">
      <c r="E51" s="940" t="s">
        <v>665</v>
      </c>
      <c r="F51" s="989"/>
      <c r="G51" s="1009"/>
      <c r="H51" s="1009"/>
      <c r="I51" s="1009"/>
      <c r="J51" s="1009"/>
      <c r="K51" s="1009"/>
      <c r="L51" s="1009">
        <v>1</v>
      </c>
      <c r="M51" s="1010"/>
      <c r="N51" s="984">
        <f>SUM(F51:M51)</f>
        <v>1</v>
      </c>
    </row>
    <row r="52" spans="5:14" ht="15.75" thickBot="1" x14ac:dyDescent="0.3">
      <c r="E52" s="940" t="s">
        <v>667</v>
      </c>
      <c r="F52" s="983"/>
      <c r="G52" s="973"/>
      <c r="H52" s="973"/>
      <c r="I52" s="973"/>
      <c r="J52" s="973"/>
      <c r="K52" s="973"/>
      <c r="L52" s="1011">
        <v>2</v>
      </c>
      <c r="M52" s="974"/>
      <c r="N52" s="1004">
        <f t="shared" si="7"/>
        <v>2</v>
      </c>
    </row>
    <row r="53" spans="5:14" ht="17.25" thickBot="1" x14ac:dyDescent="0.4">
      <c r="E53" s="985" t="s">
        <v>99</v>
      </c>
      <c r="F53" s="986">
        <f t="shared" ref="F53:M53" si="8">SUM(F49:F52)</f>
        <v>0</v>
      </c>
      <c r="G53" s="979">
        <f t="shared" si="8"/>
        <v>0</v>
      </c>
      <c r="H53" s="979">
        <f t="shared" si="8"/>
        <v>0</v>
      </c>
      <c r="I53" s="977">
        <f t="shared" si="8"/>
        <v>0</v>
      </c>
      <c r="J53" s="978">
        <f t="shared" si="8"/>
        <v>1</v>
      </c>
      <c r="K53" s="978">
        <f t="shared" si="8"/>
        <v>2</v>
      </c>
      <c r="L53" s="977">
        <f t="shared" si="8"/>
        <v>3</v>
      </c>
      <c r="M53" s="987">
        <f t="shared" si="8"/>
        <v>0</v>
      </c>
      <c r="N53" s="988">
        <f>SUM(N49,N50,N51,N52)</f>
        <v>6</v>
      </c>
    </row>
    <row r="54" spans="5:14" ht="41.25" customHeight="1" thickBot="1" x14ac:dyDescent="0.3">
      <c r="E54" s="981" t="s">
        <v>668</v>
      </c>
      <c r="F54" s="961" t="s">
        <v>89</v>
      </c>
      <c r="G54" s="962" t="s">
        <v>20</v>
      </c>
      <c r="H54" s="963" t="s">
        <v>21</v>
      </c>
      <c r="I54" s="964" t="s">
        <v>273</v>
      </c>
      <c r="J54" s="962" t="s">
        <v>644</v>
      </c>
      <c r="K54" s="964" t="s">
        <v>604</v>
      </c>
      <c r="L54" s="964" t="s">
        <v>272</v>
      </c>
      <c r="M54" s="965" t="s">
        <v>26</v>
      </c>
      <c r="N54" s="982" t="s">
        <v>292</v>
      </c>
    </row>
    <row r="55" spans="5:14" x14ac:dyDescent="0.25">
      <c r="E55" s="941" t="s">
        <v>669</v>
      </c>
      <c r="F55" s="939">
        <v>1</v>
      </c>
      <c r="G55" s="767"/>
      <c r="H55" s="767"/>
      <c r="I55" s="767"/>
      <c r="J55" s="767"/>
      <c r="K55" s="767"/>
      <c r="L55" s="767"/>
      <c r="M55" s="966"/>
      <c r="N55" s="967">
        <f t="shared" ref="N55:N59" si="9">SUM(F55:M55)</f>
        <v>1</v>
      </c>
    </row>
    <row r="56" spans="5:14" x14ac:dyDescent="0.25">
      <c r="E56" s="968" t="s">
        <v>670</v>
      </c>
      <c r="F56" s="969"/>
      <c r="G56" s="751">
        <v>1</v>
      </c>
      <c r="H56" s="751"/>
      <c r="I56" s="751"/>
      <c r="J56" s="751"/>
      <c r="K56" s="751"/>
      <c r="L56" s="751"/>
      <c r="M56" s="970"/>
      <c r="N56" s="967">
        <f t="shared" si="9"/>
        <v>1</v>
      </c>
    </row>
    <row r="57" spans="5:14" x14ac:dyDescent="0.25">
      <c r="E57" s="940" t="s">
        <v>671</v>
      </c>
      <c r="F57" s="989"/>
      <c r="G57" s="1009"/>
      <c r="H57" s="1009"/>
      <c r="I57" s="1009"/>
      <c r="J57" s="1009">
        <v>1</v>
      </c>
      <c r="K57" s="1009"/>
      <c r="L57" s="1009"/>
      <c r="M57" s="1010"/>
      <c r="N57" s="984">
        <f>SUM(F57:M57)</f>
        <v>1</v>
      </c>
    </row>
    <row r="58" spans="5:14" x14ac:dyDescent="0.25">
      <c r="E58" s="940" t="s">
        <v>672</v>
      </c>
      <c r="F58" s="989"/>
      <c r="G58" s="1009"/>
      <c r="H58" s="1009"/>
      <c r="I58" s="1009"/>
      <c r="J58" s="1009">
        <v>1</v>
      </c>
      <c r="K58" s="1009"/>
      <c r="L58" s="1009"/>
      <c r="M58" s="1010"/>
      <c r="N58" s="994">
        <f>SUM(F58:M58)</f>
        <v>1</v>
      </c>
    </row>
    <row r="59" spans="5:14" ht="15.75" thickBot="1" x14ac:dyDescent="0.3">
      <c r="E59" s="940" t="s">
        <v>673</v>
      </c>
      <c r="F59" s="983"/>
      <c r="G59" s="973"/>
      <c r="H59" s="973"/>
      <c r="I59" s="973"/>
      <c r="J59" s="973">
        <v>1</v>
      </c>
      <c r="K59" s="973"/>
      <c r="L59" s="973"/>
      <c r="M59" s="974"/>
      <c r="N59" s="984">
        <f t="shared" si="9"/>
        <v>1</v>
      </c>
    </row>
    <row r="60" spans="5:14" ht="17.25" thickBot="1" x14ac:dyDescent="0.4">
      <c r="E60" s="985" t="s">
        <v>99</v>
      </c>
      <c r="F60" s="986">
        <f t="shared" ref="F60:M60" si="10">SUM(F55:F59)</f>
        <v>1</v>
      </c>
      <c r="G60" s="979">
        <f t="shared" si="10"/>
        <v>1</v>
      </c>
      <c r="H60" s="979">
        <f t="shared" si="10"/>
        <v>0</v>
      </c>
      <c r="I60" s="977">
        <f t="shared" si="10"/>
        <v>0</v>
      </c>
      <c r="J60" s="978">
        <f t="shared" si="10"/>
        <v>3</v>
      </c>
      <c r="K60" s="978">
        <f t="shared" si="10"/>
        <v>0</v>
      </c>
      <c r="L60" s="977">
        <f t="shared" si="10"/>
        <v>0</v>
      </c>
      <c r="M60" s="987">
        <f t="shared" si="10"/>
        <v>0</v>
      </c>
      <c r="N60" s="988">
        <f>SUM(N55,N56,N57,N58,N59)</f>
        <v>5</v>
      </c>
    </row>
    <row r="61" spans="5:14" ht="43.5" customHeight="1" thickBot="1" x14ac:dyDescent="0.3">
      <c r="E61" s="942" t="s">
        <v>674</v>
      </c>
      <c r="F61" s="1012">
        <f>SUM(F60+F53+F47)</f>
        <v>10</v>
      </c>
      <c r="G61" s="1013">
        <f>SUM(G60+G53+G47)</f>
        <v>13</v>
      </c>
      <c r="H61" s="1013">
        <f t="shared" ref="H61:M61" si="11">SUM(H60+H53+H47)</f>
        <v>18</v>
      </c>
      <c r="I61" s="1013">
        <f t="shared" si="11"/>
        <v>12</v>
      </c>
      <c r="J61" s="1013">
        <f t="shared" si="11"/>
        <v>32</v>
      </c>
      <c r="K61" s="1013">
        <f t="shared" si="11"/>
        <v>16</v>
      </c>
      <c r="L61" s="1013">
        <f t="shared" si="11"/>
        <v>3</v>
      </c>
      <c r="M61" s="988">
        <f t="shared" si="11"/>
        <v>0</v>
      </c>
      <c r="N61" s="988">
        <f>SUM(F61:M61)</f>
        <v>104</v>
      </c>
    </row>
    <row r="63" spans="5:14" ht="15.75" thickBot="1" x14ac:dyDescent="0.3"/>
    <row r="64" spans="5:14" x14ac:dyDescent="0.25">
      <c r="E64" s="1014" t="s">
        <v>675</v>
      </c>
      <c r="F64" s="512"/>
      <c r="G64" s="512"/>
      <c r="H64" s="512"/>
      <c r="I64" s="1015"/>
    </row>
    <row r="65" spans="5:9" x14ac:dyDescent="0.25">
      <c r="E65" s="1016"/>
      <c r="I65" s="528"/>
    </row>
    <row r="66" spans="5:9" x14ac:dyDescent="0.25">
      <c r="E66" s="1016"/>
      <c r="I66" s="528"/>
    </row>
    <row r="67" spans="5:9" x14ac:dyDescent="0.25">
      <c r="E67" s="1016"/>
      <c r="I67" s="528"/>
    </row>
    <row r="68" spans="5:9" x14ac:dyDescent="0.25">
      <c r="E68" s="1016"/>
      <c r="I68" s="528"/>
    </row>
    <row r="69" spans="5:9" ht="15.75" thickBot="1" x14ac:dyDescent="0.3">
      <c r="E69" s="1016"/>
      <c r="I69" s="528"/>
    </row>
    <row r="70" spans="5:9" ht="15.75" thickBot="1" x14ac:dyDescent="0.3">
      <c r="E70" s="1016"/>
      <c r="F70" s="1017"/>
      <c r="G70" t="s">
        <v>676</v>
      </c>
      <c r="I70" s="528"/>
    </row>
    <row r="71" spans="5:9" x14ac:dyDescent="0.25">
      <c r="E71" s="1016"/>
      <c r="I71" s="528"/>
    </row>
    <row r="72" spans="5:9" x14ac:dyDescent="0.25">
      <c r="E72" s="1016"/>
      <c r="I72" s="528"/>
    </row>
    <row r="73" spans="5:9" x14ac:dyDescent="0.25">
      <c r="E73" s="1016"/>
      <c r="I73" s="528"/>
    </row>
    <row r="74" spans="5:9" x14ac:dyDescent="0.25">
      <c r="E74" s="1016"/>
      <c r="I74" s="528"/>
    </row>
    <row r="75" spans="5:9" x14ac:dyDescent="0.25">
      <c r="E75" s="1016"/>
      <c r="I75" s="528"/>
    </row>
    <row r="76" spans="5:9" x14ac:dyDescent="0.25">
      <c r="E76" s="1016"/>
      <c r="I76" s="528"/>
    </row>
    <row r="77" spans="5:9" x14ac:dyDescent="0.25">
      <c r="E77" s="1016"/>
      <c r="I77" s="528"/>
    </row>
    <row r="78" spans="5:9" x14ac:dyDescent="0.25">
      <c r="E78" s="1016"/>
      <c r="I78" s="528"/>
    </row>
    <row r="79" spans="5:9" ht="15.75" thickBot="1" x14ac:dyDescent="0.3">
      <c r="E79" s="1016"/>
      <c r="I79" s="528"/>
    </row>
    <row r="80" spans="5:9" ht="15.75" thickBot="1" x14ac:dyDescent="0.3">
      <c r="E80" s="1016"/>
      <c r="F80" s="1018"/>
      <c r="G80" t="s">
        <v>677</v>
      </c>
      <c r="I80" s="528"/>
    </row>
    <row r="81" spans="5:9" x14ac:dyDescent="0.25">
      <c r="E81" s="1016"/>
      <c r="I81" s="528"/>
    </row>
    <row r="82" spans="5:9" x14ac:dyDescent="0.25">
      <c r="E82" s="1016"/>
      <c r="I82" s="528"/>
    </row>
    <row r="83" spans="5:9" ht="15.75" thickBot="1" x14ac:dyDescent="0.3">
      <c r="E83" s="1019"/>
      <c r="F83" s="463"/>
      <c r="G83" s="463"/>
      <c r="H83" s="463"/>
      <c r="I83" s="1020"/>
    </row>
  </sheetData>
  <mergeCells count="8">
    <mergeCell ref="E3:E6"/>
    <mergeCell ref="F3:N4"/>
    <mergeCell ref="F5:M6"/>
    <mergeCell ref="N5:N7"/>
    <mergeCell ref="E34:E37"/>
    <mergeCell ref="F34:N35"/>
    <mergeCell ref="F36:M37"/>
    <mergeCell ref="N36:N38"/>
  </mergeCells>
  <pageMargins left="0.7" right="0.7" top="0.75" bottom="0.75" header="0.3" footer="0.3"/>
  <pageSetup paperSize="8" scale="51"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8B80D-EA3C-41CE-9F5B-9F6D81D76E1F}">
  <sheetPr>
    <pageSetUpPr fitToPage="1"/>
  </sheetPr>
  <dimension ref="A1:K321"/>
  <sheetViews>
    <sheetView zoomScale="70" zoomScaleNormal="70" workbookViewId="0">
      <selection activeCell="K262" sqref="K262"/>
    </sheetView>
  </sheetViews>
  <sheetFormatPr defaultColWidth="9.140625" defaultRowHeight="15" x14ac:dyDescent="0.35"/>
  <cols>
    <col min="1" max="1" width="8.5703125" style="888" bestFit="1" customWidth="1"/>
    <col min="2" max="2" width="9.140625" style="888"/>
    <col min="3" max="3" width="16" style="888" bestFit="1" customWidth="1"/>
    <col min="4" max="5" width="9.140625" style="888"/>
    <col min="6" max="6" width="14.5703125" style="888" bestFit="1" customWidth="1"/>
    <col min="7" max="7" width="7.5703125" style="888" bestFit="1" customWidth="1"/>
    <col min="8" max="8" width="50" style="888" bestFit="1" customWidth="1"/>
    <col min="9" max="9" width="70" style="888" bestFit="1" customWidth="1"/>
    <col min="10" max="10" width="20" style="888" customWidth="1"/>
    <col min="11" max="11" width="76.28515625" style="888" bestFit="1" customWidth="1"/>
    <col min="12" max="16384" width="9.140625" style="812"/>
  </cols>
  <sheetData>
    <row r="1" spans="1:11" ht="31.5" customHeight="1" x14ac:dyDescent="0.35">
      <c r="A1" s="1837" t="s">
        <v>423</v>
      </c>
      <c r="B1" s="1837"/>
      <c r="C1" s="1837"/>
      <c r="D1" s="1837"/>
      <c r="E1" s="1837"/>
      <c r="F1" s="1837"/>
      <c r="G1" s="1837"/>
      <c r="H1" s="1837"/>
      <c r="I1" s="1837"/>
      <c r="J1" s="1837"/>
      <c r="K1" s="1837"/>
    </row>
    <row r="2" spans="1:11" ht="25.5" customHeight="1" x14ac:dyDescent="0.35">
      <c r="A2" s="1838" t="s">
        <v>424</v>
      </c>
      <c r="B2" s="1838"/>
      <c r="C2" s="1838"/>
      <c r="D2" s="1838"/>
      <c r="E2" s="1838"/>
      <c r="F2" s="1838"/>
      <c r="G2" s="1838"/>
      <c r="H2" s="1838"/>
      <c r="I2" s="1838"/>
      <c r="J2" s="1838"/>
      <c r="K2" s="1838"/>
    </row>
    <row r="3" spans="1:11" s="813" customFormat="1" x14ac:dyDescent="0.35">
      <c r="A3" s="1839" t="s">
        <v>124</v>
      </c>
      <c r="B3" s="1839" t="s">
        <v>0</v>
      </c>
      <c r="C3" s="1839" t="s">
        <v>330</v>
      </c>
      <c r="D3" s="1839" t="s">
        <v>331</v>
      </c>
      <c r="E3" s="1839"/>
      <c r="F3" s="1839" t="s">
        <v>332</v>
      </c>
      <c r="G3" s="1839" t="s">
        <v>333</v>
      </c>
      <c r="H3" s="1839" t="s">
        <v>334</v>
      </c>
      <c r="I3" s="1839" t="s">
        <v>425</v>
      </c>
      <c r="J3" s="1839" t="s">
        <v>335</v>
      </c>
      <c r="K3" s="1839" t="s">
        <v>426</v>
      </c>
    </row>
    <row r="4" spans="1:11" s="813" customFormat="1" ht="15.75" thickBot="1" x14ac:dyDescent="0.4">
      <c r="A4" s="1840"/>
      <c r="B4" s="1840"/>
      <c r="C4" s="1840"/>
      <c r="D4" s="814" t="s">
        <v>336</v>
      </c>
      <c r="E4" s="814" t="s">
        <v>337</v>
      </c>
      <c r="F4" s="1840"/>
      <c r="G4" s="1840"/>
      <c r="H4" s="1840"/>
      <c r="I4" s="1840"/>
      <c r="J4" s="1840"/>
      <c r="K4" s="1840"/>
    </row>
    <row r="5" spans="1:11" ht="15" customHeight="1" thickTop="1" x14ac:dyDescent="0.35">
      <c r="A5" s="1841" t="s">
        <v>338</v>
      </c>
      <c r="B5" s="815">
        <v>1</v>
      </c>
      <c r="C5" s="815" t="s">
        <v>51</v>
      </c>
      <c r="D5" s="815">
        <v>65</v>
      </c>
      <c r="E5" s="816">
        <f>SUM(D5*10.76)</f>
        <v>699.4</v>
      </c>
      <c r="F5" s="815" t="s">
        <v>343</v>
      </c>
      <c r="G5" s="815">
        <v>2</v>
      </c>
      <c r="H5" s="815" t="s">
        <v>427</v>
      </c>
      <c r="I5" s="815" t="s">
        <v>428</v>
      </c>
      <c r="J5" s="815">
        <v>73</v>
      </c>
      <c r="K5" s="815" t="s">
        <v>429</v>
      </c>
    </row>
    <row r="6" spans="1:11" x14ac:dyDescent="0.35">
      <c r="A6" s="1842"/>
      <c r="B6" s="817">
        <v>2</v>
      </c>
      <c r="C6" s="817" t="s">
        <v>51</v>
      </c>
      <c r="D6" s="817">
        <v>103</v>
      </c>
      <c r="E6" s="818">
        <f t="shared" ref="E6:E20" si="0">SUM(D6*10.76)</f>
        <v>1108.28</v>
      </c>
      <c r="F6" s="817" t="s">
        <v>344</v>
      </c>
      <c r="G6" s="817">
        <v>2</v>
      </c>
      <c r="H6" s="817" t="s">
        <v>427</v>
      </c>
      <c r="I6" s="817" t="s">
        <v>428</v>
      </c>
      <c r="J6" s="815">
        <v>105</v>
      </c>
      <c r="K6" s="815" t="s">
        <v>429</v>
      </c>
    </row>
    <row r="7" spans="1:11" x14ac:dyDescent="0.35">
      <c r="A7" s="1842"/>
      <c r="B7" s="817">
        <v>3</v>
      </c>
      <c r="C7" s="817" t="s">
        <v>15</v>
      </c>
      <c r="D7" s="817">
        <v>83.5</v>
      </c>
      <c r="E7" s="818">
        <f t="shared" si="0"/>
        <v>898.46</v>
      </c>
      <c r="F7" s="817" t="s">
        <v>345</v>
      </c>
      <c r="G7" s="817">
        <v>2</v>
      </c>
      <c r="H7" s="817" t="s">
        <v>430</v>
      </c>
      <c r="I7" s="817" t="s">
        <v>431</v>
      </c>
      <c r="J7" s="817">
        <v>165</v>
      </c>
      <c r="K7" s="817" t="s">
        <v>432</v>
      </c>
    </row>
    <row r="8" spans="1:11" x14ac:dyDescent="0.35">
      <c r="A8" s="1842"/>
      <c r="B8" s="817">
        <v>4</v>
      </c>
      <c r="C8" s="817" t="s">
        <v>15</v>
      </c>
      <c r="D8" s="817">
        <v>97.7</v>
      </c>
      <c r="E8" s="818">
        <f t="shared" si="0"/>
        <v>1051.252</v>
      </c>
      <c r="F8" s="817" t="s">
        <v>345</v>
      </c>
      <c r="G8" s="817">
        <v>2</v>
      </c>
      <c r="H8" s="817" t="s">
        <v>430</v>
      </c>
      <c r="I8" s="817" t="s">
        <v>431</v>
      </c>
      <c r="J8" s="817">
        <v>75</v>
      </c>
      <c r="K8" s="817" t="s">
        <v>433</v>
      </c>
    </row>
    <row r="9" spans="1:11" x14ac:dyDescent="0.35">
      <c r="A9" s="1843"/>
      <c r="B9" s="817">
        <v>5</v>
      </c>
      <c r="C9" s="817" t="s">
        <v>15</v>
      </c>
      <c r="D9" s="817">
        <v>70.2</v>
      </c>
      <c r="E9" s="818">
        <f t="shared" si="0"/>
        <v>755.35199999999998</v>
      </c>
      <c r="F9" s="817" t="s">
        <v>343</v>
      </c>
      <c r="G9" s="817">
        <v>2</v>
      </c>
      <c r="H9" s="817" t="s">
        <v>427</v>
      </c>
      <c r="I9" s="817" t="s">
        <v>431</v>
      </c>
      <c r="J9" s="817">
        <v>208</v>
      </c>
      <c r="K9" s="817" t="s">
        <v>432</v>
      </c>
    </row>
    <row r="10" spans="1:11" x14ac:dyDescent="0.35">
      <c r="A10" s="1844" t="s">
        <v>44</v>
      </c>
      <c r="B10" s="819">
        <v>6</v>
      </c>
      <c r="C10" s="819" t="s">
        <v>15</v>
      </c>
      <c r="D10" s="820">
        <v>100.6</v>
      </c>
      <c r="E10" s="821">
        <f t="shared" ref="E10:E11" si="1">SUM(D10*10.7639)</f>
        <v>1082.84834</v>
      </c>
      <c r="F10" s="819" t="s">
        <v>344</v>
      </c>
      <c r="G10" s="819">
        <v>2</v>
      </c>
      <c r="H10" s="819" t="s">
        <v>430</v>
      </c>
      <c r="I10" s="819" t="s">
        <v>434</v>
      </c>
      <c r="J10" s="819">
        <v>73</v>
      </c>
      <c r="K10" s="819" t="s">
        <v>435</v>
      </c>
    </row>
    <row r="11" spans="1:11" x14ac:dyDescent="0.35">
      <c r="A11" s="1845"/>
      <c r="B11" s="819">
        <v>7</v>
      </c>
      <c r="C11" s="819" t="s">
        <v>15</v>
      </c>
      <c r="D11" s="820">
        <v>79.8</v>
      </c>
      <c r="E11" s="821">
        <f t="shared" si="1"/>
        <v>858.95921999999996</v>
      </c>
      <c r="F11" s="819" t="s">
        <v>343</v>
      </c>
      <c r="G11" s="819">
        <v>2</v>
      </c>
      <c r="H11" s="819" t="s">
        <v>427</v>
      </c>
      <c r="I11" s="819" t="s">
        <v>434</v>
      </c>
      <c r="J11" s="819">
        <v>181</v>
      </c>
      <c r="K11" s="819" t="s">
        <v>436</v>
      </c>
    </row>
    <row r="12" spans="1:11" x14ac:dyDescent="0.35">
      <c r="A12" s="1845"/>
      <c r="B12" s="819">
        <v>8</v>
      </c>
      <c r="C12" s="819" t="s">
        <v>15</v>
      </c>
      <c r="D12" s="822">
        <v>140.19999999999999</v>
      </c>
      <c r="E12" s="823">
        <f>SUM(D12*10.7639)</f>
        <v>1509.0987799999998</v>
      </c>
      <c r="F12" s="819" t="s">
        <v>346</v>
      </c>
      <c r="G12" s="819">
        <v>3</v>
      </c>
      <c r="H12" s="819" t="s">
        <v>430</v>
      </c>
      <c r="I12" s="819" t="s">
        <v>437</v>
      </c>
      <c r="J12" s="819">
        <v>297</v>
      </c>
      <c r="K12" s="819" t="s">
        <v>438</v>
      </c>
    </row>
    <row r="13" spans="1:11" x14ac:dyDescent="0.35">
      <c r="A13" s="1845"/>
      <c r="B13" s="819">
        <v>9</v>
      </c>
      <c r="C13" s="819" t="s">
        <v>51</v>
      </c>
      <c r="D13" s="820">
        <v>85</v>
      </c>
      <c r="E13" s="821">
        <f t="shared" ref="E13:E18" si="2">SUM(D13*10.7639)</f>
        <v>914.93149999999991</v>
      </c>
      <c r="F13" s="819" t="s">
        <v>345</v>
      </c>
      <c r="G13" s="819">
        <v>2</v>
      </c>
      <c r="H13" s="819" t="s">
        <v>427</v>
      </c>
      <c r="I13" s="819" t="s">
        <v>428</v>
      </c>
      <c r="J13" s="819">
        <v>140</v>
      </c>
      <c r="K13" s="824" t="s">
        <v>439</v>
      </c>
    </row>
    <row r="14" spans="1:11" x14ac:dyDescent="0.35">
      <c r="A14" s="1845"/>
      <c r="B14" s="819">
        <v>10</v>
      </c>
      <c r="C14" s="819" t="s">
        <v>51</v>
      </c>
      <c r="D14" s="820">
        <v>54.5</v>
      </c>
      <c r="E14" s="821">
        <f t="shared" si="2"/>
        <v>586.63254999999992</v>
      </c>
      <c r="F14" s="819" t="s">
        <v>347</v>
      </c>
      <c r="G14" s="819">
        <v>2</v>
      </c>
      <c r="H14" s="819" t="s">
        <v>427</v>
      </c>
      <c r="I14" s="819" t="s">
        <v>428</v>
      </c>
      <c r="J14" s="819">
        <v>102</v>
      </c>
      <c r="K14" s="824" t="s">
        <v>440</v>
      </c>
    </row>
    <row r="15" spans="1:11" x14ac:dyDescent="0.35">
      <c r="A15" s="1845"/>
      <c r="B15" s="819">
        <v>11</v>
      </c>
      <c r="C15" s="819" t="s">
        <v>51</v>
      </c>
      <c r="D15" s="820">
        <v>86.1</v>
      </c>
      <c r="E15" s="821">
        <f t="shared" si="2"/>
        <v>926.7717899999999</v>
      </c>
      <c r="F15" s="819" t="s">
        <v>343</v>
      </c>
      <c r="G15" s="819">
        <v>2</v>
      </c>
      <c r="H15" s="819" t="s">
        <v>427</v>
      </c>
      <c r="I15" s="819" t="s">
        <v>428</v>
      </c>
      <c r="J15" s="819">
        <v>51</v>
      </c>
      <c r="K15" s="824" t="s">
        <v>441</v>
      </c>
    </row>
    <row r="16" spans="1:11" x14ac:dyDescent="0.35">
      <c r="A16" s="1845"/>
      <c r="B16" s="819">
        <v>12</v>
      </c>
      <c r="C16" s="819" t="s">
        <v>15</v>
      </c>
      <c r="D16" s="820">
        <v>71.5</v>
      </c>
      <c r="E16" s="821">
        <f t="shared" si="2"/>
        <v>769.61884999999995</v>
      </c>
      <c r="F16" s="819" t="s">
        <v>343</v>
      </c>
      <c r="G16" s="819">
        <v>2</v>
      </c>
      <c r="H16" s="819" t="s">
        <v>427</v>
      </c>
      <c r="I16" s="819" t="s">
        <v>431</v>
      </c>
      <c r="J16" s="819">
        <v>146</v>
      </c>
      <c r="K16" s="819" t="s">
        <v>442</v>
      </c>
    </row>
    <row r="17" spans="1:11" x14ac:dyDescent="0.35">
      <c r="A17" s="1845"/>
      <c r="B17" s="819">
        <v>13</v>
      </c>
      <c r="C17" s="819" t="s">
        <v>15</v>
      </c>
      <c r="D17" s="820">
        <v>105.8</v>
      </c>
      <c r="E17" s="821">
        <f t="shared" si="2"/>
        <v>1138.82062</v>
      </c>
      <c r="F17" s="819" t="s">
        <v>348</v>
      </c>
      <c r="G17" s="819">
        <v>3</v>
      </c>
      <c r="H17" s="819" t="s">
        <v>430</v>
      </c>
      <c r="I17" s="819" t="s">
        <v>428</v>
      </c>
      <c r="J17" s="819">
        <v>164</v>
      </c>
      <c r="K17" s="819" t="s">
        <v>443</v>
      </c>
    </row>
    <row r="18" spans="1:11" x14ac:dyDescent="0.35">
      <c r="A18" s="1846"/>
      <c r="B18" s="819">
        <v>14</v>
      </c>
      <c r="C18" s="819" t="s">
        <v>15</v>
      </c>
      <c r="D18" s="820">
        <v>70.599999999999994</v>
      </c>
      <c r="E18" s="821">
        <f t="shared" si="2"/>
        <v>759.93133999999986</v>
      </c>
      <c r="F18" s="819" t="s">
        <v>343</v>
      </c>
      <c r="G18" s="819">
        <v>2</v>
      </c>
      <c r="H18" s="819" t="s">
        <v>427</v>
      </c>
      <c r="I18" s="819" t="s">
        <v>434</v>
      </c>
      <c r="J18" s="819">
        <v>123</v>
      </c>
      <c r="K18" s="819" t="s">
        <v>442</v>
      </c>
    </row>
    <row r="19" spans="1:11" x14ac:dyDescent="0.35">
      <c r="A19" s="1842" t="s">
        <v>338</v>
      </c>
      <c r="B19" s="817">
        <v>15</v>
      </c>
      <c r="C19" s="817" t="s">
        <v>15</v>
      </c>
      <c r="D19" s="817">
        <v>99.3</v>
      </c>
      <c r="E19" s="818">
        <f t="shared" si="0"/>
        <v>1068.4679999999998</v>
      </c>
      <c r="F19" s="817" t="s">
        <v>348</v>
      </c>
      <c r="G19" s="817">
        <v>2</v>
      </c>
      <c r="H19" s="817" t="s">
        <v>430</v>
      </c>
      <c r="I19" s="817" t="s">
        <v>434</v>
      </c>
      <c r="J19" s="817">
        <v>198</v>
      </c>
      <c r="K19" s="817" t="s">
        <v>444</v>
      </c>
    </row>
    <row r="20" spans="1:11" x14ac:dyDescent="0.35">
      <c r="A20" s="1842"/>
      <c r="B20" s="817">
        <v>16</v>
      </c>
      <c r="C20" s="817" t="s">
        <v>15</v>
      </c>
      <c r="D20" s="817">
        <v>83.1</v>
      </c>
      <c r="E20" s="818">
        <f t="shared" si="0"/>
        <v>894.15599999999995</v>
      </c>
      <c r="F20" s="817" t="s">
        <v>343</v>
      </c>
      <c r="G20" s="817">
        <v>3</v>
      </c>
      <c r="H20" s="817" t="s">
        <v>427</v>
      </c>
      <c r="I20" s="817" t="s">
        <v>445</v>
      </c>
      <c r="J20" s="817">
        <v>243</v>
      </c>
      <c r="K20" s="817" t="s">
        <v>446</v>
      </c>
    </row>
    <row r="21" spans="1:11" x14ac:dyDescent="0.35">
      <c r="A21" s="1842"/>
      <c r="B21" s="817">
        <v>17</v>
      </c>
      <c r="C21" s="817" t="s">
        <v>15</v>
      </c>
      <c r="D21" s="825">
        <v>83.1</v>
      </c>
      <c r="E21" s="826">
        <f t="shared" ref="E21:E73" si="3">SUM(D21*10.7639)</f>
        <v>894.4800899999999</v>
      </c>
      <c r="F21" s="817" t="s">
        <v>343</v>
      </c>
      <c r="G21" s="817">
        <v>3</v>
      </c>
      <c r="H21" s="817" t="s">
        <v>427</v>
      </c>
      <c r="I21" s="815" t="s">
        <v>445</v>
      </c>
      <c r="J21" s="815">
        <v>246</v>
      </c>
      <c r="K21" s="817" t="s">
        <v>446</v>
      </c>
    </row>
    <row r="22" spans="1:11" x14ac:dyDescent="0.35">
      <c r="A22" s="1843"/>
      <c r="B22" s="817">
        <v>18</v>
      </c>
      <c r="C22" s="817" t="s">
        <v>51</v>
      </c>
      <c r="D22" s="825">
        <v>65.599999999999994</v>
      </c>
      <c r="E22" s="826">
        <f t="shared" si="3"/>
        <v>706.11183999999992</v>
      </c>
      <c r="F22" s="817" t="s">
        <v>343</v>
      </c>
      <c r="G22" s="817">
        <v>2</v>
      </c>
      <c r="H22" s="817" t="s">
        <v>427</v>
      </c>
      <c r="I22" s="817" t="s">
        <v>447</v>
      </c>
      <c r="J22" s="815" t="s">
        <v>77</v>
      </c>
      <c r="K22" s="815" t="s">
        <v>448</v>
      </c>
    </row>
    <row r="23" spans="1:11" x14ac:dyDescent="0.35">
      <c r="A23" s="1834" t="s">
        <v>339</v>
      </c>
      <c r="B23" s="819">
        <v>19</v>
      </c>
      <c r="C23" s="819" t="s">
        <v>51</v>
      </c>
      <c r="D23" s="820">
        <v>83.7</v>
      </c>
      <c r="E23" s="821">
        <f t="shared" si="3"/>
        <v>900.93843000000004</v>
      </c>
      <c r="F23" s="819" t="s">
        <v>343</v>
      </c>
      <c r="G23" s="819">
        <v>2</v>
      </c>
      <c r="H23" s="819" t="s">
        <v>427</v>
      </c>
      <c r="I23" s="819" t="s">
        <v>428</v>
      </c>
      <c r="J23" s="819">
        <v>65</v>
      </c>
      <c r="K23" s="824" t="s">
        <v>449</v>
      </c>
    </row>
    <row r="24" spans="1:11" x14ac:dyDescent="0.35">
      <c r="A24" s="1835"/>
      <c r="B24" s="819">
        <v>20</v>
      </c>
      <c r="C24" s="819" t="s">
        <v>51</v>
      </c>
      <c r="D24" s="820">
        <v>59.6</v>
      </c>
      <c r="E24" s="821">
        <f t="shared" si="3"/>
        <v>641.52844000000005</v>
      </c>
      <c r="F24" s="819" t="s">
        <v>347</v>
      </c>
      <c r="G24" s="819">
        <v>2</v>
      </c>
      <c r="H24" s="819" t="s">
        <v>427</v>
      </c>
      <c r="I24" s="819" t="s">
        <v>428</v>
      </c>
      <c r="J24" s="819">
        <v>87</v>
      </c>
      <c r="K24" s="824" t="s">
        <v>450</v>
      </c>
    </row>
    <row r="25" spans="1:11" x14ac:dyDescent="0.35">
      <c r="A25" s="1835"/>
      <c r="B25" s="819">
        <v>21</v>
      </c>
      <c r="C25" s="819" t="s">
        <v>15</v>
      </c>
      <c r="D25" s="820">
        <v>83.6</v>
      </c>
      <c r="E25" s="821">
        <f t="shared" si="3"/>
        <v>899.86203999999987</v>
      </c>
      <c r="F25" s="819" t="s">
        <v>343</v>
      </c>
      <c r="G25" s="819">
        <v>3</v>
      </c>
      <c r="H25" s="819" t="s">
        <v>427</v>
      </c>
      <c r="I25" s="819" t="s">
        <v>428</v>
      </c>
      <c r="J25" s="819">
        <v>243</v>
      </c>
      <c r="K25" s="819" t="s">
        <v>446</v>
      </c>
    </row>
    <row r="26" spans="1:11" x14ac:dyDescent="0.35">
      <c r="A26" s="1835"/>
      <c r="B26" s="819">
        <v>22</v>
      </c>
      <c r="C26" s="819" t="s">
        <v>15</v>
      </c>
      <c r="D26" s="820">
        <v>83.6</v>
      </c>
      <c r="E26" s="821">
        <f t="shared" si="3"/>
        <v>899.86203999999987</v>
      </c>
      <c r="F26" s="819" t="s">
        <v>343</v>
      </c>
      <c r="G26" s="819">
        <v>3</v>
      </c>
      <c r="H26" s="819" t="s">
        <v>427</v>
      </c>
      <c r="I26" s="819" t="s">
        <v>428</v>
      </c>
      <c r="J26" s="824">
        <v>246</v>
      </c>
      <c r="K26" s="819" t="s">
        <v>446</v>
      </c>
    </row>
    <row r="27" spans="1:11" x14ac:dyDescent="0.35">
      <c r="A27" s="1835"/>
      <c r="B27" s="819">
        <v>23</v>
      </c>
      <c r="C27" s="819" t="s">
        <v>15</v>
      </c>
      <c r="D27" s="820">
        <v>87.2</v>
      </c>
      <c r="E27" s="821">
        <f t="shared" si="3"/>
        <v>938.61207999999999</v>
      </c>
      <c r="F27" s="819" t="s">
        <v>348</v>
      </c>
      <c r="G27" s="819">
        <v>2</v>
      </c>
      <c r="H27" s="819" t="s">
        <v>430</v>
      </c>
      <c r="I27" s="819" t="s">
        <v>434</v>
      </c>
      <c r="J27" s="819">
        <v>140</v>
      </c>
      <c r="K27" s="819" t="s">
        <v>432</v>
      </c>
    </row>
    <row r="28" spans="1:11" ht="30" x14ac:dyDescent="0.35">
      <c r="A28" s="1835"/>
      <c r="B28" s="819">
        <v>24</v>
      </c>
      <c r="C28" s="819" t="s">
        <v>15</v>
      </c>
      <c r="D28" s="822">
        <v>159</v>
      </c>
      <c r="E28" s="823">
        <f t="shared" si="3"/>
        <v>1711.4601</v>
      </c>
      <c r="F28" s="819" t="s">
        <v>349</v>
      </c>
      <c r="G28" s="819">
        <v>3</v>
      </c>
      <c r="H28" s="819" t="s">
        <v>430</v>
      </c>
      <c r="I28" s="819" t="s">
        <v>437</v>
      </c>
      <c r="J28" s="819">
        <v>686</v>
      </c>
      <c r="K28" s="827" t="s">
        <v>451</v>
      </c>
    </row>
    <row r="29" spans="1:11" x14ac:dyDescent="0.35">
      <c r="A29" s="1836"/>
      <c r="B29" s="819">
        <v>25</v>
      </c>
      <c r="C29" s="819" t="s">
        <v>15</v>
      </c>
      <c r="D29" s="820">
        <v>71.5</v>
      </c>
      <c r="E29" s="821">
        <f t="shared" si="3"/>
        <v>769.61884999999995</v>
      </c>
      <c r="F29" s="819" t="s">
        <v>343</v>
      </c>
      <c r="G29" s="819">
        <v>2</v>
      </c>
      <c r="H29" s="819" t="s">
        <v>427</v>
      </c>
      <c r="I29" s="819" t="s">
        <v>447</v>
      </c>
      <c r="J29" s="819" t="s">
        <v>77</v>
      </c>
      <c r="K29" s="819" t="s">
        <v>432</v>
      </c>
    </row>
    <row r="30" spans="1:11" x14ac:dyDescent="0.35">
      <c r="A30" s="1852" t="s">
        <v>20</v>
      </c>
      <c r="B30" s="828">
        <v>26</v>
      </c>
      <c r="C30" s="828" t="s">
        <v>51</v>
      </c>
      <c r="D30" s="829">
        <v>77.599999999999994</v>
      </c>
      <c r="E30" s="830">
        <f t="shared" si="3"/>
        <v>835.27863999999988</v>
      </c>
      <c r="F30" s="828" t="s">
        <v>343</v>
      </c>
      <c r="G30" s="828">
        <v>2</v>
      </c>
      <c r="H30" s="828" t="s">
        <v>427</v>
      </c>
      <c r="I30" s="828" t="s">
        <v>428</v>
      </c>
      <c r="J30" s="828">
        <v>89</v>
      </c>
      <c r="K30" s="831" t="s">
        <v>452</v>
      </c>
    </row>
    <row r="31" spans="1:11" x14ac:dyDescent="0.35">
      <c r="A31" s="1853"/>
      <c r="B31" s="828">
        <v>27</v>
      </c>
      <c r="C31" s="828" t="s">
        <v>51</v>
      </c>
      <c r="D31" s="829">
        <v>77.2</v>
      </c>
      <c r="E31" s="830">
        <f t="shared" si="3"/>
        <v>830.97307999999998</v>
      </c>
      <c r="F31" s="828" t="s">
        <v>343</v>
      </c>
      <c r="G31" s="828">
        <v>2</v>
      </c>
      <c r="H31" s="828" t="s">
        <v>427</v>
      </c>
      <c r="I31" s="828" t="s">
        <v>428</v>
      </c>
      <c r="J31" s="828">
        <v>89</v>
      </c>
      <c r="K31" s="831" t="s">
        <v>429</v>
      </c>
    </row>
    <row r="32" spans="1:11" ht="30" x14ac:dyDescent="0.35">
      <c r="A32" s="1853"/>
      <c r="B32" s="828">
        <v>28</v>
      </c>
      <c r="C32" s="828" t="s">
        <v>15</v>
      </c>
      <c r="D32" s="829">
        <v>97.1</v>
      </c>
      <c r="E32" s="830">
        <f t="shared" si="3"/>
        <v>1045.1746899999998</v>
      </c>
      <c r="F32" s="828" t="s">
        <v>348</v>
      </c>
      <c r="G32" s="828">
        <v>2</v>
      </c>
      <c r="H32" s="828" t="s">
        <v>427</v>
      </c>
      <c r="I32" s="828" t="s">
        <v>447</v>
      </c>
      <c r="J32" s="828" t="s">
        <v>77</v>
      </c>
      <c r="K32" s="832" t="s">
        <v>453</v>
      </c>
    </row>
    <row r="33" spans="1:11" ht="30" x14ac:dyDescent="0.35">
      <c r="A33" s="1853"/>
      <c r="B33" s="828">
        <v>29</v>
      </c>
      <c r="C33" s="828" t="s">
        <v>15</v>
      </c>
      <c r="D33" s="829">
        <v>94.7</v>
      </c>
      <c r="E33" s="830">
        <f t="shared" si="3"/>
        <v>1019.34133</v>
      </c>
      <c r="F33" s="828" t="s">
        <v>344</v>
      </c>
      <c r="G33" s="828">
        <v>3</v>
      </c>
      <c r="H33" s="828" t="s">
        <v>430</v>
      </c>
      <c r="I33" s="828" t="s">
        <v>428</v>
      </c>
      <c r="J33" s="828">
        <v>140</v>
      </c>
      <c r="K33" s="832" t="s">
        <v>453</v>
      </c>
    </row>
    <row r="34" spans="1:11" ht="30" x14ac:dyDescent="0.35">
      <c r="A34" s="1853"/>
      <c r="B34" s="828">
        <v>30</v>
      </c>
      <c r="C34" s="828" t="s">
        <v>15</v>
      </c>
      <c r="D34" s="829">
        <v>94.3</v>
      </c>
      <c r="E34" s="830">
        <f t="shared" si="3"/>
        <v>1015.03577</v>
      </c>
      <c r="F34" s="828" t="s">
        <v>344</v>
      </c>
      <c r="G34" s="828">
        <v>3</v>
      </c>
      <c r="H34" s="828" t="s">
        <v>430</v>
      </c>
      <c r="I34" s="828" t="s">
        <v>428</v>
      </c>
      <c r="J34" s="828">
        <v>144</v>
      </c>
      <c r="K34" s="832" t="s">
        <v>453</v>
      </c>
    </row>
    <row r="35" spans="1:11" x14ac:dyDescent="0.35">
      <c r="A35" s="1853"/>
      <c r="B35" s="828">
        <v>31</v>
      </c>
      <c r="C35" s="828" t="s">
        <v>51</v>
      </c>
      <c r="D35" s="829">
        <v>107.5</v>
      </c>
      <c r="E35" s="830">
        <f t="shared" si="3"/>
        <v>1157.11925</v>
      </c>
      <c r="F35" s="828" t="s">
        <v>348</v>
      </c>
      <c r="G35" s="828">
        <v>3</v>
      </c>
      <c r="H35" s="828" t="s">
        <v>427</v>
      </c>
      <c r="I35" s="828" t="s">
        <v>454</v>
      </c>
      <c r="J35" s="828">
        <v>76</v>
      </c>
      <c r="K35" s="828" t="s">
        <v>455</v>
      </c>
    </row>
    <row r="36" spans="1:11" ht="30" x14ac:dyDescent="0.35">
      <c r="A36" s="1853"/>
      <c r="B36" s="828">
        <v>32</v>
      </c>
      <c r="C36" s="828" t="s">
        <v>15</v>
      </c>
      <c r="D36" s="829">
        <v>91.7</v>
      </c>
      <c r="E36" s="830">
        <f t="shared" si="3"/>
        <v>987.04962999999998</v>
      </c>
      <c r="F36" s="828" t="s">
        <v>344</v>
      </c>
      <c r="G36" s="828">
        <v>3</v>
      </c>
      <c r="H36" s="828" t="s">
        <v>430</v>
      </c>
      <c r="I36" s="828" t="s">
        <v>434</v>
      </c>
      <c r="J36" s="828">
        <v>73</v>
      </c>
      <c r="K36" s="832" t="s">
        <v>456</v>
      </c>
    </row>
    <row r="37" spans="1:11" ht="30" x14ac:dyDescent="0.35">
      <c r="A37" s="1853"/>
      <c r="B37" s="828">
        <v>33</v>
      </c>
      <c r="C37" s="828" t="s">
        <v>15</v>
      </c>
      <c r="D37" s="829">
        <v>75.3</v>
      </c>
      <c r="E37" s="830">
        <f t="shared" si="3"/>
        <v>810.52166999999997</v>
      </c>
      <c r="F37" s="828" t="s">
        <v>343</v>
      </c>
      <c r="G37" s="828">
        <v>3</v>
      </c>
      <c r="H37" s="828" t="s">
        <v>427</v>
      </c>
      <c r="I37" s="828" t="s">
        <v>434</v>
      </c>
      <c r="J37" s="828">
        <v>97</v>
      </c>
      <c r="K37" s="832" t="s">
        <v>456</v>
      </c>
    </row>
    <row r="38" spans="1:11" ht="30" x14ac:dyDescent="0.35">
      <c r="A38" s="1853"/>
      <c r="B38" s="828">
        <v>34</v>
      </c>
      <c r="C38" s="828" t="s">
        <v>15</v>
      </c>
      <c r="D38" s="829">
        <v>75.3</v>
      </c>
      <c r="E38" s="830">
        <f t="shared" si="3"/>
        <v>810.52166999999997</v>
      </c>
      <c r="F38" s="828" t="s">
        <v>343</v>
      </c>
      <c r="G38" s="828">
        <v>3</v>
      </c>
      <c r="H38" s="828" t="s">
        <v>427</v>
      </c>
      <c r="I38" s="828" t="s">
        <v>431</v>
      </c>
      <c r="J38" s="828">
        <v>70</v>
      </c>
      <c r="K38" s="832" t="s">
        <v>456</v>
      </c>
    </row>
    <row r="39" spans="1:11" ht="30" x14ac:dyDescent="0.35">
      <c r="A39" s="1853"/>
      <c r="B39" s="828">
        <v>35</v>
      </c>
      <c r="C39" s="828" t="s">
        <v>15</v>
      </c>
      <c r="D39" s="829">
        <v>128.5</v>
      </c>
      <c r="E39" s="830">
        <f t="shared" si="3"/>
        <v>1383.1611499999999</v>
      </c>
      <c r="F39" s="828" t="s">
        <v>350</v>
      </c>
      <c r="G39" s="828">
        <v>4</v>
      </c>
      <c r="H39" s="828" t="s">
        <v>430</v>
      </c>
      <c r="I39" s="828" t="s">
        <v>434</v>
      </c>
      <c r="J39" s="828">
        <v>130</v>
      </c>
      <c r="K39" s="832" t="s">
        <v>457</v>
      </c>
    </row>
    <row r="40" spans="1:11" ht="30" x14ac:dyDescent="0.35">
      <c r="A40" s="1853"/>
      <c r="B40" s="828">
        <v>36</v>
      </c>
      <c r="C40" s="828" t="s">
        <v>15</v>
      </c>
      <c r="D40" s="829">
        <v>102.5</v>
      </c>
      <c r="E40" s="830">
        <f t="shared" si="3"/>
        <v>1103.2997499999999</v>
      </c>
      <c r="F40" s="828" t="s">
        <v>344</v>
      </c>
      <c r="G40" s="828">
        <v>3</v>
      </c>
      <c r="H40" s="828" t="s">
        <v>430</v>
      </c>
      <c r="I40" s="828" t="s">
        <v>458</v>
      </c>
      <c r="J40" s="828" t="s">
        <v>77</v>
      </c>
      <c r="K40" s="832" t="s">
        <v>459</v>
      </c>
    </row>
    <row r="41" spans="1:11" ht="30" x14ac:dyDescent="0.35">
      <c r="A41" s="1853"/>
      <c r="B41" s="828">
        <v>37</v>
      </c>
      <c r="C41" s="828" t="s">
        <v>15</v>
      </c>
      <c r="D41" s="833">
        <v>116.7</v>
      </c>
      <c r="E41" s="834">
        <f t="shared" si="3"/>
        <v>1256.1471300000001</v>
      </c>
      <c r="F41" s="828" t="s">
        <v>344</v>
      </c>
      <c r="G41" s="828">
        <v>3</v>
      </c>
      <c r="H41" s="828" t="s">
        <v>430</v>
      </c>
      <c r="I41" s="828" t="s">
        <v>460</v>
      </c>
      <c r="J41" s="828">
        <v>50</v>
      </c>
      <c r="K41" s="832" t="s">
        <v>461</v>
      </c>
    </row>
    <row r="42" spans="1:11" x14ac:dyDescent="0.35">
      <c r="A42" s="1853"/>
      <c r="B42" s="828">
        <v>38</v>
      </c>
      <c r="C42" s="828" t="s">
        <v>342</v>
      </c>
      <c r="D42" s="829">
        <v>39</v>
      </c>
      <c r="E42" s="830">
        <f t="shared" si="3"/>
        <v>419.7921</v>
      </c>
      <c r="F42" s="828" t="s">
        <v>347</v>
      </c>
      <c r="G42" s="828">
        <v>1</v>
      </c>
      <c r="H42" s="828" t="s">
        <v>427</v>
      </c>
      <c r="I42" s="828" t="s">
        <v>431</v>
      </c>
      <c r="J42" s="828">
        <v>169</v>
      </c>
      <c r="K42" s="832" t="s">
        <v>462</v>
      </c>
    </row>
    <row r="43" spans="1:11" x14ac:dyDescent="0.35">
      <c r="A43" s="1853"/>
      <c r="B43" s="828">
        <v>39</v>
      </c>
      <c r="C43" s="828" t="s">
        <v>51</v>
      </c>
      <c r="D43" s="829">
        <v>76.8</v>
      </c>
      <c r="E43" s="830">
        <f t="shared" si="3"/>
        <v>826.66751999999997</v>
      </c>
      <c r="F43" s="828" t="s">
        <v>344</v>
      </c>
      <c r="G43" s="828">
        <v>2</v>
      </c>
      <c r="H43" s="828" t="s">
        <v>427</v>
      </c>
      <c r="I43" s="828" t="s">
        <v>428</v>
      </c>
      <c r="J43" s="828">
        <v>126</v>
      </c>
      <c r="K43" s="828" t="s">
        <v>442</v>
      </c>
    </row>
    <row r="44" spans="1:11" x14ac:dyDescent="0.35">
      <c r="A44" s="1853"/>
      <c r="B44" s="828">
        <v>40</v>
      </c>
      <c r="C44" s="828" t="s">
        <v>15</v>
      </c>
      <c r="D44" s="829">
        <v>93.9</v>
      </c>
      <c r="E44" s="830">
        <f t="shared" si="3"/>
        <v>1010.7302100000001</v>
      </c>
      <c r="F44" s="828" t="s">
        <v>348</v>
      </c>
      <c r="G44" s="828">
        <v>3</v>
      </c>
      <c r="H44" s="828" t="s">
        <v>427</v>
      </c>
      <c r="I44" s="828" t="s">
        <v>428</v>
      </c>
      <c r="J44" s="828">
        <v>82</v>
      </c>
      <c r="K44" s="828" t="s">
        <v>463</v>
      </c>
    </row>
    <row r="45" spans="1:11" x14ac:dyDescent="0.35">
      <c r="A45" s="1853"/>
      <c r="B45" s="828">
        <v>41</v>
      </c>
      <c r="C45" s="828" t="s">
        <v>51</v>
      </c>
      <c r="D45" s="829">
        <v>84.1</v>
      </c>
      <c r="E45" s="830">
        <f t="shared" si="3"/>
        <v>905.24398999999994</v>
      </c>
      <c r="F45" s="828" t="s">
        <v>343</v>
      </c>
      <c r="G45" s="828">
        <v>2</v>
      </c>
      <c r="H45" s="828" t="s">
        <v>427</v>
      </c>
      <c r="I45" s="828" t="s">
        <v>428</v>
      </c>
      <c r="J45" s="828">
        <v>70</v>
      </c>
      <c r="K45" s="832" t="s">
        <v>462</v>
      </c>
    </row>
    <row r="46" spans="1:11" x14ac:dyDescent="0.35">
      <c r="A46" s="1854"/>
      <c r="B46" s="828">
        <v>42</v>
      </c>
      <c r="C46" s="828" t="s">
        <v>51</v>
      </c>
      <c r="D46" s="829">
        <v>111.6</v>
      </c>
      <c r="E46" s="830">
        <f t="shared" si="3"/>
        <v>1201.2512399999998</v>
      </c>
      <c r="F46" s="828" t="s">
        <v>345</v>
      </c>
      <c r="G46" s="828">
        <v>2</v>
      </c>
      <c r="H46" s="828" t="s">
        <v>427</v>
      </c>
      <c r="I46" s="828" t="s">
        <v>447</v>
      </c>
      <c r="J46" s="828" t="s">
        <v>77</v>
      </c>
      <c r="K46" s="828" t="s">
        <v>464</v>
      </c>
    </row>
    <row r="47" spans="1:11" x14ac:dyDescent="0.35">
      <c r="A47" s="1855" t="s">
        <v>23</v>
      </c>
      <c r="B47" s="835">
        <v>43</v>
      </c>
      <c r="C47" s="835" t="s">
        <v>342</v>
      </c>
      <c r="D47" s="836">
        <v>46.9</v>
      </c>
      <c r="E47" s="837">
        <f t="shared" si="3"/>
        <v>504.82690999999994</v>
      </c>
      <c r="F47" s="835" t="s">
        <v>347</v>
      </c>
      <c r="G47" s="835">
        <v>1</v>
      </c>
      <c r="H47" s="835" t="s">
        <v>427</v>
      </c>
      <c r="I47" s="835" t="s">
        <v>465</v>
      </c>
      <c r="J47" s="835" t="s">
        <v>77</v>
      </c>
      <c r="K47" s="838" t="s">
        <v>452</v>
      </c>
    </row>
    <row r="48" spans="1:11" x14ac:dyDescent="0.35">
      <c r="A48" s="1856"/>
      <c r="B48" s="835">
        <v>44</v>
      </c>
      <c r="C48" s="835" t="s">
        <v>51</v>
      </c>
      <c r="D48" s="836">
        <v>107.6</v>
      </c>
      <c r="E48" s="837">
        <f t="shared" si="3"/>
        <v>1158.1956399999999</v>
      </c>
      <c r="F48" s="835" t="s">
        <v>348</v>
      </c>
      <c r="G48" s="835">
        <v>2</v>
      </c>
      <c r="H48" s="835" t="s">
        <v>427</v>
      </c>
      <c r="I48" s="835" t="s">
        <v>465</v>
      </c>
      <c r="J48" s="835" t="s">
        <v>77</v>
      </c>
      <c r="K48" s="835" t="s">
        <v>452</v>
      </c>
    </row>
    <row r="49" spans="1:11" x14ac:dyDescent="0.35">
      <c r="A49" s="1856"/>
      <c r="B49" s="835">
        <v>45</v>
      </c>
      <c r="C49" s="835" t="s">
        <v>342</v>
      </c>
      <c r="D49" s="836">
        <v>38.5</v>
      </c>
      <c r="E49" s="837">
        <f t="shared" si="3"/>
        <v>414.41014999999999</v>
      </c>
      <c r="F49" s="835" t="s">
        <v>347</v>
      </c>
      <c r="G49" s="835">
        <v>1</v>
      </c>
      <c r="H49" s="835" t="s">
        <v>427</v>
      </c>
      <c r="I49" s="835" t="s">
        <v>465</v>
      </c>
      <c r="J49" s="835" t="s">
        <v>77</v>
      </c>
      <c r="K49" s="838" t="s">
        <v>466</v>
      </c>
    </row>
    <row r="50" spans="1:11" x14ac:dyDescent="0.35">
      <c r="A50" s="1856"/>
      <c r="B50" s="835">
        <v>46</v>
      </c>
      <c r="C50" s="835" t="s">
        <v>51</v>
      </c>
      <c r="D50" s="836">
        <v>75.3</v>
      </c>
      <c r="E50" s="837">
        <f>SUM(D50*10.7639)</f>
        <v>810.52166999999997</v>
      </c>
      <c r="F50" s="835" t="s">
        <v>343</v>
      </c>
      <c r="G50" s="835">
        <v>2</v>
      </c>
      <c r="H50" s="835" t="s">
        <v>427</v>
      </c>
      <c r="I50" s="835" t="s">
        <v>465</v>
      </c>
      <c r="J50" s="835" t="s">
        <v>77</v>
      </c>
      <c r="K50" s="838" t="s">
        <v>448</v>
      </c>
    </row>
    <row r="51" spans="1:11" x14ac:dyDescent="0.35">
      <c r="A51" s="1856"/>
      <c r="B51" s="835">
        <v>47</v>
      </c>
      <c r="C51" s="835" t="s">
        <v>51</v>
      </c>
      <c r="D51" s="836">
        <v>94.3</v>
      </c>
      <c r="E51" s="837">
        <f t="shared" si="3"/>
        <v>1015.03577</v>
      </c>
      <c r="F51" s="835" t="s">
        <v>348</v>
      </c>
      <c r="G51" s="835">
        <v>2</v>
      </c>
      <c r="H51" s="835" t="s">
        <v>427</v>
      </c>
      <c r="I51" s="835" t="s">
        <v>465</v>
      </c>
      <c r="J51" s="835" t="s">
        <v>77</v>
      </c>
      <c r="K51" s="838" t="s">
        <v>467</v>
      </c>
    </row>
    <row r="52" spans="1:11" x14ac:dyDescent="0.35">
      <c r="A52" s="1856"/>
      <c r="B52" s="835">
        <v>48</v>
      </c>
      <c r="C52" s="835" t="s">
        <v>15</v>
      </c>
      <c r="D52" s="836">
        <v>107.5</v>
      </c>
      <c r="E52" s="837">
        <f t="shared" si="3"/>
        <v>1157.11925</v>
      </c>
      <c r="F52" s="835" t="s">
        <v>345</v>
      </c>
      <c r="G52" s="835">
        <v>3</v>
      </c>
      <c r="H52" s="835" t="s">
        <v>430</v>
      </c>
      <c r="I52" s="835" t="s">
        <v>468</v>
      </c>
      <c r="J52" s="835">
        <v>277</v>
      </c>
      <c r="K52" s="839" t="s">
        <v>469</v>
      </c>
    </row>
    <row r="53" spans="1:11" x14ac:dyDescent="0.35">
      <c r="A53" s="1856"/>
      <c r="B53" s="835">
        <v>49</v>
      </c>
      <c r="C53" s="835" t="s">
        <v>15</v>
      </c>
      <c r="D53" s="836">
        <v>105.1</v>
      </c>
      <c r="E53" s="837">
        <f t="shared" si="3"/>
        <v>1131.2858899999999</v>
      </c>
      <c r="F53" s="835" t="s">
        <v>344</v>
      </c>
      <c r="G53" s="835">
        <v>3</v>
      </c>
      <c r="H53" s="835" t="s">
        <v>430</v>
      </c>
      <c r="I53" s="835" t="s">
        <v>468</v>
      </c>
      <c r="J53" s="835">
        <v>186</v>
      </c>
      <c r="K53" s="839" t="s">
        <v>470</v>
      </c>
    </row>
    <row r="54" spans="1:11" x14ac:dyDescent="0.35">
      <c r="A54" s="1856"/>
      <c r="B54" s="835">
        <v>50</v>
      </c>
      <c r="C54" s="835" t="s">
        <v>15</v>
      </c>
      <c r="D54" s="836">
        <v>129</v>
      </c>
      <c r="E54" s="837">
        <f t="shared" si="3"/>
        <v>1388.5430999999999</v>
      </c>
      <c r="F54" s="835" t="s">
        <v>349</v>
      </c>
      <c r="G54" s="835">
        <v>3</v>
      </c>
      <c r="H54" s="835" t="s">
        <v>430</v>
      </c>
      <c r="I54" s="835" t="s">
        <v>468</v>
      </c>
      <c r="J54" s="835">
        <v>75</v>
      </c>
      <c r="K54" s="839" t="s">
        <v>471</v>
      </c>
    </row>
    <row r="55" spans="1:11" x14ac:dyDescent="0.35">
      <c r="A55" s="1856"/>
      <c r="B55" s="835">
        <v>51</v>
      </c>
      <c r="C55" s="835" t="s">
        <v>15</v>
      </c>
      <c r="D55" s="836">
        <v>101.3</v>
      </c>
      <c r="E55" s="837">
        <f t="shared" si="3"/>
        <v>1090.3830699999999</v>
      </c>
      <c r="F55" s="835" t="s">
        <v>348</v>
      </c>
      <c r="G55" s="835">
        <v>3</v>
      </c>
      <c r="H55" s="835" t="s">
        <v>427</v>
      </c>
      <c r="I55" s="835" t="s">
        <v>472</v>
      </c>
      <c r="J55" s="835" t="s">
        <v>77</v>
      </c>
      <c r="K55" s="839" t="s">
        <v>473</v>
      </c>
    </row>
    <row r="56" spans="1:11" x14ac:dyDescent="0.35">
      <c r="A56" s="1856"/>
      <c r="B56" s="835">
        <v>52</v>
      </c>
      <c r="C56" s="835" t="s">
        <v>15</v>
      </c>
      <c r="D56" s="836">
        <v>84.8</v>
      </c>
      <c r="E56" s="837">
        <f t="shared" si="3"/>
        <v>912.77871999999991</v>
      </c>
      <c r="F56" s="835" t="s">
        <v>345</v>
      </c>
      <c r="G56" s="835">
        <v>2</v>
      </c>
      <c r="H56" s="835" t="s">
        <v>430</v>
      </c>
      <c r="I56" s="835" t="s">
        <v>474</v>
      </c>
      <c r="J56" s="835">
        <v>147</v>
      </c>
      <c r="K56" s="835" t="s">
        <v>475</v>
      </c>
    </row>
    <row r="57" spans="1:11" x14ac:dyDescent="0.35">
      <c r="A57" s="1856"/>
      <c r="B57" s="835">
        <v>53</v>
      </c>
      <c r="C57" s="835" t="s">
        <v>15</v>
      </c>
      <c r="D57" s="836">
        <v>127.7</v>
      </c>
      <c r="E57" s="837">
        <f t="shared" si="3"/>
        <v>1374.5500299999999</v>
      </c>
      <c r="F57" s="835" t="s">
        <v>346</v>
      </c>
      <c r="G57" s="835">
        <v>3</v>
      </c>
      <c r="H57" s="835" t="s">
        <v>476</v>
      </c>
      <c r="I57" s="835" t="s">
        <v>474</v>
      </c>
      <c r="J57" s="835">
        <v>257</v>
      </c>
      <c r="K57" s="835" t="s">
        <v>477</v>
      </c>
    </row>
    <row r="58" spans="1:11" x14ac:dyDescent="0.35">
      <c r="A58" s="1856"/>
      <c r="B58" s="835">
        <v>54</v>
      </c>
      <c r="C58" s="835" t="s">
        <v>15</v>
      </c>
      <c r="D58" s="836">
        <v>109.2</v>
      </c>
      <c r="E58" s="837">
        <f t="shared" si="3"/>
        <v>1175.41788</v>
      </c>
      <c r="F58" s="835" t="s">
        <v>350</v>
      </c>
      <c r="G58" s="835">
        <v>3</v>
      </c>
      <c r="H58" s="835" t="s">
        <v>476</v>
      </c>
      <c r="I58" s="835" t="s">
        <v>474</v>
      </c>
      <c r="J58" s="835">
        <v>551</v>
      </c>
      <c r="K58" s="835" t="s">
        <v>477</v>
      </c>
    </row>
    <row r="59" spans="1:11" x14ac:dyDescent="0.35">
      <c r="A59" s="1856"/>
      <c r="B59" s="835">
        <v>55</v>
      </c>
      <c r="C59" s="835" t="s">
        <v>15</v>
      </c>
      <c r="D59" s="836">
        <v>100.8</v>
      </c>
      <c r="E59" s="837">
        <f t="shared" si="3"/>
        <v>1085.0011199999999</v>
      </c>
      <c r="F59" s="835" t="s">
        <v>348</v>
      </c>
      <c r="G59" s="835">
        <v>3</v>
      </c>
      <c r="H59" s="835" t="s">
        <v>427</v>
      </c>
      <c r="I59" s="835" t="s">
        <v>468</v>
      </c>
      <c r="J59" s="835">
        <v>284</v>
      </c>
      <c r="K59" s="835" t="s">
        <v>478</v>
      </c>
    </row>
    <row r="60" spans="1:11" x14ac:dyDescent="0.35">
      <c r="A60" s="1856"/>
      <c r="B60" s="835">
        <v>56</v>
      </c>
      <c r="C60" s="835" t="s">
        <v>15</v>
      </c>
      <c r="D60" s="836">
        <v>97.1</v>
      </c>
      <c r="E60" s="837">
        <f t="shared" si="3"/>
        <v>1045.1746899999998</v>
      </c>
      <c r="F60" s="835" t="s">
        <v>344</v>
      </c>
      <c r="G60" s="835">
        <v>3</v>
      </c>
      <c r="H60" s="835" t="s">
        <v>427</v>
      </c>
      <c r="I60" s="835" t="s">
        <v>468</v>
      </c>
      <c r="J60" s="835">
        <v>304</v>
      </c>
      <c r="K60" s="835" t="s">
        <v>479</v>
      </c>
    </row>
    <row r="61" spans="1:11" x14ac:dyDescent="0.35">
      <c r="A61" s="1856"/>
      <c r="B61" s="835">
        <v>57</v>
      </c>
      <c r="C61" s="835" t="s">
        <v>15</v>
      </c>
      <c r="D61" s="836">
        <v>97.1</v>
      </c>
      <c r="E61" s="837">
        <f t="shared" si="3"/>
        <v>1045.1746899999998</v>
      </c>
      <c r="F61" s="835" t="s">
        <v>344</v>
      </c>
      <c r="G61" s="835">
        <v>3</v>
      </c>
      <c r="H61" s="835" t="s">
        <v>427</v>
      </c>
      <c r="I61" s="835" t="s">
        <v>468</v>
      </c>
      <c r="J61" s="835">
        <v>79</v>
      </c>
      <c r="K61" s="835" t="s">
        <v>479</v>
      </c>
    </row>
    <row r="62" spans="1:11" ht="30" x14ac:dyDescent="0.35">
      <c r="A62" s="1856"/>
      <c r="B62" s="835">
        <v>58</v>
      </c>
      <c r="C62" s="835" t="s">
        <v>51</v>
      </c>
      <c r="D62" s="836">
        <v>105.6</v>
      </c>
      <c r="E62" s="837">
        <f t="shared" si="3"/>
        <v>1136.6678399999998</v>
      </c>
      <c r="F62" s="835" t="s">
        <v>348</v>
      </c>
      <c r="G62" s="835">
        <v>2</v>
      </c>
      <c r="H62" s="835" t="s">
        <v>427</v>
      </c>
      <c r="I62" s="835" t="s">
        <v>465</v>
      </c>
      <c r="J62" s="835" t="s">
        <v>77</v>
      </c>
      <c r="K62" s="839" t="s">
        <v>480</v>
      </c>
    </row>
    <row r="63" spans="1:11" ht="30" x14ac:dyDescent="0.35">
      <c r="A63" s="1856"/>
      <c r="B63" s="835">
        <v>59</v>
      </c>
      <c r="C63" s="835" t="s">
        <v>51</v>
      </c>
      <c r="D63" s="836">
        <v>96</v>
      </c>
      <c r="E63" s="837">
        <f t="shared" si="3"/>
        <v>1033.3344</v>
      </c>
      <c r="F63" s="835" t="s">
        <v>348</v>
      </c>
      <c r="G63" s="835">
        <v>2</v>
      </c>
      <c r="H63" s="835" t="s">
        <v>427</v>
      </c>
      <c r="I63" s="835" t="s">
        <v>465</v>
      </c>
      <c r="J63" s="835" t="s">
        <v>77</v>
      </c>
      <c r="K63" s="839" t="s">
        <v>481</v>
      </c>
    </row>
    <row r="64" spans="1:11" x14ac:dyDescent="0.35">
      <c r="A64" s="1856"/>
      <c r="B64" s="835">
        <v>60</v>
      </c>
      <c r="C64" s="835" t="s">
        <v>15</v>
      </c>
      <c r="D64" s="836">
        <v>106</v>
      </c>
      <c r="E64" s="837">
        <f t="shared" si="3"/>
        <v>1140.9733999999999</v>
      </c>
      <c r="F64" s="835" t="s">
        <v>345</v>
      </c>
      <c r="G64" s="835">
        <v>4</v>
      </c>
      <c r="H64" s="835" t="s">
        <v>427</v>
      </c>
      <c r="I64" s="835" t="s">
        <v>482</v>
      </c>
      <c r="J64" s="835">
        <v>123</v>
      </c>
      <c r="K64" s="835" t="s">
        <v>483</v>
      </c>
    </row>
    <row r="65" spans="1:11" x14ac:dyDescent="0.35">
      <c r="A65" s="1856"/>
      <c r="B65" s="835">
        <v>61</v>
      </c>
      <c r="C65" s="835" t="s">
        <v>51</v>
      </c>
      <c r="D65" s="836">
        <v>96.7</v>
      </c>
      <c r="E65" s="837">
        <f t="shared" si="3"/>
        <v>1040.86913</v>
      </c>
      <c r="F65" s="835" t="s">
        <v>344</v>
      </c>
      <c r="G65" s="835">
        <v>2</v>
      </c>
      <c r="H65" s="835" t="s">
        <v>476</v>
      </c>
      <c r="I65" s="835" t="s">
        <v>465</v>
      </c>
      <c r="J65" s="835" t="s">
        <v>77</v>
      </c>
      <c r="K65" s="835" t="s">
        <v>484</v>
      </c>
    </row>
    <row r="66" spans="1:11" ht="30" x14ac:dyDescent="0.35">
      <c r="A66" s="1856"/>
      <c r="B66" s="835">
        <v>62</v>
      </c>
      <c r="C66" s="835" t="s">
        <v>51</v>
      </c>
      <c r="D66" s="836">
        <v>104.8</v>
      </c>
      <c r="E66" s="837">
        <f t="shared" si="3"/>
        <v>1128.0567199999998</v>
      </c>
      <c r="F66" s="835" t="s">
        <v>344</v>
      </c>
      <c r="G66" s="835">
        <v>2</v>
      </c>
      <c r="H66" s="835" t="s">
        <v>476</v>
      </c>
      <c r="I66" s="835" t="s">
        <v>465</v>
      </c>
      <c r="J66" s="835" t="s">
        <v>77</v>
      </c>
      <c r="K66" s="839" t="s">
        <v>485</v>
      </c>
    </row>
    <row r="67" spans="1:11" x14ac:dyDescent="0.35">
      <c r="A67" s="1856"/>
      <c r="B67" s="835">
        <v>63</v>
      </c>
      <c r="C67" s="835" t="s">
        <v>15</v>
      </c>
      <c r="D67" s="840">
        <v>86</v>
      </c>
      <c r="E67" s="841">
        <f t="shared" si="3"/>
        <v>925.69539999999995</v>
      </c>
      <c r="F67" s="835" t="s">
        <v>345</v>
      </c>
      <c r="G67" s="835">
        <v>4</v>
      </c>
      <c r="H67" s="835" t="s">
        <v>427</v>
      </c>
      <c r="I67" s="835" t="s">
        <v>486</v>
      </c>
      <c r="J67" s="835">
        <v>81</v>
      </c>
      <c r="K67" s="835" t="s">
        <v>483</v>
      </c>
    </row>
    <row r="68" spans="1:11" x14ac:dyDescent="0.35">
      <c r="A68" s="1856"/>
      <c r="B68" s="835">
        <v>64</v>
      </c>
      <c r="C68" s="835" t="s">
        <v>15</v>
      </c>
      <c r="D68" s="836">
        <v>97.1</v>
      </c>
      <c r="E68" s="837">
        <f t="shared" si="3"/>
        <v>1045.1746899999998</v>
      </c>
      <c r="F68" s="835" t="s">
        <v>344</v>
      </c>
      <c r="G68" s="835">
        <v>3</v>
      </c>
      <c r="H68" s="835" t="s">
        <v>476</v>
      </c>
      <c r="I68" s="835" t="s">
        <v>468</v>
      </c>
      <c r="J68" s="835">
        <v>79</v>
      </c>
      <c r="K68" s="835" t="s">
        <v>487</v>
      </c>
    </row>
    <row r="69" spans="1:11" x14ac:dyDescent="0.35">
      <c r="A69" s="1856"/>
      <c r="B69" s="835">
        <v>65</v>
      </c>
      <c r="C69" s="835" t="s">
        <v>15</v>
      </c>
      <c r="D69" s="836">
        <v>97.1</v>
      </c>
      <c r="E69" s="837">
        <f t="shared" si="3"/>
        <v>1045.1746899999998</v>
      </c>
      <c r="F69" s="835" t="s">
        <v>344</v>
      </c>
      <c r="G69" s="835">
        <v>3</v>
      </c>
      <c r="H69" s="835" t="s">
        <v>476</v>
      </c>
      <c r="I69" s="835" t="s">
        <v>468</v>
      </c>
      <c r="J69" s="835">
        <v>231</v>
      </c>
      <c r="K69" s="835" t="s">
        <v>487</v>
      </c>
    </row>
    <row r="70" spans="1:11" x14ac:dyDescent="0.35">
      <c r="A70" s="1856"/>
      <c r="B70" s="835">
        <v>66</v>
      </c>
      <c r="C70" s="835" t="s">
        <v>15</v>
      </c>
      <c r="D70" s="836">
        <v>130</v>
      </c>
      <c r="E70" s="837">
        <f t="shared" si="3"/>
        <v>1399.307</v>
      </c>
      <c r="F70" s="835" t="s">
        <v>346</v>
      </c>
      <c r="G70" s="835">
        <v>3</v>
      </c>
      <c r="H70" s="835" t="s">
        <v>476</v>
      </c>
      <c r="I70" s="835" t="s">
        <v>488</v>
      </c>
      <c r="J70" s="835">
        <v>350</v>
      </c>
      <c r="K70" s="839" t="s">
        <v>489</v>
      </c>
    </row>
    <row r="71" spans="1:11" x14ac:dyDescent="0.35">
      <c r="A71" s="1856"/>
      <c r="B71" s="835">
        <v>67</v>
      </c>
      <c r="C71" s="835" t="s">
        <v>15</v>
      </c>
      <c r="D71" s="836">
        <v>84.2</v>
      </c>
      <c r="E71" s="837">
        <f t="shared" si="3"/>
        <v>906.32038</v>
      </c>
      <c r="F71" s="835" t="s">
        <v>348</v>
      </c>
      <c r="G71" s="835">
        <v>2</v>
      </c>
      <c r="H71" s="835" t="s">
        <v>427</v>
      </c>
      <c r="I71" s="835" t="s">
        <v>474</v>
      </c>
      <c r="J71" s="835">
        <v>128</v>
      </c>
      <c r="K71" s="835" t="s">
        <v>490</v>
      </c>
    </row>
    <row r="72" spans="1:11" x14ac:dyDescent="0.35">
      <c r="A72" s="1856"/>
      <c r="B72" s="835">
        <v>68</v>
      </c>
      <c r="C72" s="835" t="s">
        <v>15</v>
      </c>
      <c r="D72" s="840">
        <v>92.4</v>
      </c>
      <c r="E72" s="841">
        <f t="shared" si="3"/>
        <v>994.58436000000006</v>
      </c>
      <c r="F72" s="835" t="s">
        <v>344</v>
      </c>
      <c r="G72" s="835">
        <v>3</v>
      </c>
      <c r="H72" s="835" t="s">
        <v>427</v>
      </c>
      <c r="I72" s="835" t="s">
        <v>491</v>
      </c>
      <c r="J72" s="835">
        <v>381</v>
      </c>
      <c r="K72" s="835" t="s">
        <v>492</v>
      </c>
    </row>
    <row r="73" spans="1:11" x14ac:dyDescent="0.35">
      <c r="A73" s="1856"/>
      <c r="B73" s="835">
        <v>69</v>
      </c>
      <c r="C73" s="835" t="s">
        <v>15</v>
      </c>
      <c r="D73" s="840">
        <v>92.4</v>
      </c>
      <c r="E73" s="841">
        <f t="shared" si="3"/>
        <v>994.58436000000006</v>
      </c>
      <c r="F73" s="835" t="s">
        <v>344</v>
      </c>
      <c r="G73" s="835">
        <v>3</v>
      </c>
      <c r="H73" s="835" t="s">
        <v>476</v>
      </c>
      <c r="I73" s="835" t="s">
        <v>491</v>
      </c>
      <c r="J73" s="835">
        <v>381</v>
      </c>
      <c r="K73" s="835" t="s">
        <v>492</v>
      </c>
    </row>
    <row r="74" spans="1:11" ht="30" x14ac:dyDescent="0.35">
      <c r="A74" s="1856"/>
      <c r="B74" s="835">
        <v>70</v>
      </c>
      <c r="C74" s="835" t="s">
        <v>15</v>
      </c>
      <c r="D74" s="840">
        <v>94.6</v>
      </c>
      <c r="E74" s="841">
        <f>SUM(D74*10.7639)</f>
        <v>1018.2649399999999</v>
      </c>
      <c r="F74" s="835" t="s">
        <v>348</v>
      </c>
      <c r="G74" s="835">
        <v>3</v>
      </c>
      <c r="H74" s="835" t="s">
        <v>476</v>
      </c>
      <c r="I74" s="839" t="s">
        <v>493</v>
      </c>
      <c r="J74" s="835">
        <v>485</v>
      </c>
      <c r="K74" s="835" t="s">
        <v>494</v>
      </c>
    </row>
    <row r="75" spans="1:11" x14ac:dyDescent="0.35">
      <c r="A75" s="1856"/>
      <c r="B75" s="835">
        <v>71</v>
      </c>
      <c r="C75" s="835" t="s">
        <v>15</v>
      </c>
      <c r="D75" s="836">
        <v>113.8</v>
      </c>
      <c r="E75" s="837">
        <f t="shared" ref="E75:E82" si="4">SUM(D75*10.7639)</f>
        <v>1224.93182</v>
      </c>
      <c r="F75" s="835" t="s">
        <v>348</v>
      </c>
      <c r="G75" s="835">
        <v>3</v>
      </c>
      <c r="H75" s="835" t="s">
        <v>476</v>
      </c>
      <c r="I75" s="835" t="s">
        <v>465</v>
      </c>
      <c r="J75" s="835" t="s">
        <v>77</v>
      </c>
      <c r="K75" s="835" t="s">
        <v>478</v>
      </c>
    </row>
    <row r="76" spans="1:11" x14ac:dyDescent="0.35">
      <c r="A76" s="1856"/>
      <c r="B76" s="835">
        <v>72</v>
      </c>
      <c r="C76" s="835" t="s">
        <v>15</v>
      </c>
      <c r="D76" s="836">
        <v>130</v>
      </c>
      <c r="E76" s="837">
        <f t="shared" si="4"/>
        <v>1399.307</v>
      </c>
      <c r="F76" s="835" t="s">
        <v>346</v>
      </c>
      <c r="G76" s="835">
        <v>3</v>
      </c>
      <c r="H76" s="835" t="s">
        <v>476</v>
      </c>
      <c r="I76" s="835" t="s">
        <v>495</v>
      </c>
      <c r="J76" s="835">
        <v>274</v>
      </c>
      <c r="K76" s="839" t="s">
        <v>489</v>
      </c>
    </row>
    <row r="77" spans="1:11" x14ac:dyDescent="0.35">
      <c r="A77" s="1856"/>
      <c r="B77" s="835">
        <v>73</v>
      </c>
      <c r="C77" s="835" t="s">
        <v>51</v>
      </c>
      <c r="D77" s="836">
        <v>54.1</v>
      </c>
      <c r="E77" s="837">
        <f t="shared" si="4"/>
        <v>582.32699000000002</v>
      </c>
      <c r="F77" s="835" t="s">
        <v>347</v>
      </c>
      <c r="G77" s="835">
        <v>2</v>
      </c>
      <c r="H77" s="835" t="s">
        <v>427</v>
      </c>
      <c r="I77" s="835" t="s">
        <v>482</v>
      </c>
      <c r="J77" s="835">
        <v>176</v>
      </c>
      <c r="K77" s="835" t="s">
        <v>490</v>
      </c>
    </row>
    <row r="78" spans="1:11" x14ac:dyDescent="0.35">
      <c r="A78" s="1856"/>
      <c r="B78" s="835">
        <v>74</v>
      </c>
      <c r="C78" s="835" t="s">
        <v>51</v>
      </c>
      <c r="D78" s="836">
        <v>82.4</v>
      </c>
      <c r="E78" s="837">
        <f t="shared" si="4"/>
        <v>886.94536000000005</v>
      </c>
      <c r="F78" s="835" t="s">
        <v>345</v>
      </c>
      <c r="G78" s="835">
        <v>2</v>
      </c>
      <c r="H78" s="835" t="s">
        <v>427</v>
      </c>
      <c r="I78" s="835" t="s">
        <v>465</v>
      </c>
      <c r="J78" s="835" t="s">
        <v>77</v>
      </c>
      <c r="K78" s="835" t="s">
        <v>496</v>
      </c>
    </row>
    <row r="79" spans="1:11" x14ac:dyDescent="0.35">
      <c r="A79" s="1856"/>
      <c r="B79" s="835">
        <v>75</v>
      </c>
      <c r="C79" s="835" t="s">
        <v>51</v>
      </c>
      <c r="D79" s="836">
        <v>54.1</v>
      </c>
      <c r="E79" s="837">
        <f t="shared" si="4"/>
        <v>582.32699000000002</v>
      </c>
      <c r="F79" s="835" t="s">
        <v>347</v>
      </c>
      <c r="G79" s="835">
        <v>2</v>
      </c>
      <c r="H79" s="835" t="s">
        <v>427</v>
      </c>
      <c r="I79" s="835" t="s">
        <v>465</v>
      </c>
      <c r="J79" s="835" t="s">
        <v>77</v>
      </c>
      <c r="K79" s="835" t="s">
        <v>490</v>
      </c>
    </row>
    <row r="80" spans="1:11" x14ac:dyDescent="0.35">
      <c r="A80" s="1856"/>
      <c r="B80" s="835">
        <v>76</v>
      </c>
      <c r="C80" s="835" t="s">
        <v>51</v>
      </c>
      <c r="D80" s="836">
        <v>93.3</v>
      </c>
      <c r="E80" s="837">
        <f t="shared" si="4"/>
        <v>1004.2718699999999</v>
      </c>
      <c r="F80" s="835" t="s">
        <v>348</v>
      </c>
      <c r="G80" s="835">
        <v>2</v>
      </c>
      <c r="H80" s="835" t="s">
        <v>427</v>
      </c>
      <c r="I80" s="835" t="s">
        <v>465</v>
      </c>
      <c r="J80" s="835" t="s">
        <v>77</v>
      </c>
      <c r="K80" s="835" t="s">
        <v>497</v>
      </c>
    </row>
    <row r="81" spans="1:11" x14ac:dyDescent="0.35">
      <c r="A81" s="1856"/>
      <c r="B81" s="835">
        <v>77</v>
      </c>
      <c r="C81" s="835" t="s">
        <v>51</v>
      </c>
      <c r="D81" s="836">
        <v>72.7</v>
      </c>
      <c r="E81" s="837">
        <f t="shared" si="4"/>
        <v>782.53552999999999</v>
      </c>
      <c r="F81" s="835" t="s">
        <v>343</v>
      </c>
      <c r="G81" s="835">
        <v>2</v>
      </c>
      <c r="H81" s="835" t="s">
        <v>427</v>
      </c>
      <c r="I81" s="835" t="s">
        <v>465</v>
      </c>
      <c r="J81" s="835" t="s">
        <v>77</v>
      </c>
      <c r="K81" s="835" t="s">
        <v>452</v>
      </c>
    </row>
    <row r="82" spans="1:11" x14ac:dyDescent="0.35">
      <c r="A82" s="1856"/>
      <c r="B82" s="835">
        <v>78</v>
      </c>
      <c r="C82" s="835" t="s">
        <v>51</v>
      </c>
      <c r="D82" s="836">
        <v>78.599999999999994</v>
      </c>
      <c r="E82" s="837">
        <f t="shared" si="4"/>
        <v>846.04253999999992</v>
      </c>
      <c r="F82" s="835" t="s">
        <v>343</v>
      </c>
      <c r="G82" s="835">
        <v>2</v>
      </c>
      <c r="H82" s="835" t="s">
        <v>427</v>
      </c>
      <c r="I82" s="835" t="s">
        <v>465</v>
      </c>
      <c r="J82" s="835" t="s">
        <v>77</v>
      </c>
      <c r="K82" s="835" t="s">
        <v>498</v>
      </c>
    </row>
    <row r="83" spans="1:11" x14ac:dyDescent="0.35">
      <c r="A83" s="1856"/>
      <c r="B83" s="835">
        <v>79</v>
      </c>
      <c r="C83" s="835" t="s">
        <v>51</v>
      </c>
      <c r="D83" s="836">
        <v>84.7</v>
      </c>
      <c r="E83" s="837">
        <f>SUM(D83*10.7639)</f>
        <v>911.70232999999996</v>
      </c>
      <c r="F83" s="835" t="s">
        <v>344</v>
      </c>
      <c r="G83" s="835">
        <v>2</v>
      </c>
      <c r="H83" s="835" t="s">
        <v>427</v>
      </c>
      <c r="I83" s="835" t="s">
        <v>465</v>
      </c>
      <c r="J83" s="835" t="s">
        <v>77</v>
      </c>
      <c r="K83" s="835" t="s">
        <v>499</v>
      </c>
    </row>
    <row r="84" spans="1:11" x14ac:dyDescent="0.35">
      <c r="A84" s="1856"/>
      <c r="B84" s="835">
        <v>80</v>
      </c>
      <c r="C84" s="835" t="s">
        <v>51</v>
      </c>
      <c r="D84" s="836">
        <v>84.7</v>
      </c>
      <c r="E84" s="837">
        <f>SUM(D84*10.7639)</f>
        <v>911.70232999999996</v>
      </c>
      <c r="F84" s="835" t="s">
        <v>344</v>
      </c>
      <c r="G84" s="835">
        <v>2</v>
      </c>
      <c r="H84" s="835" t="s">
        <v>427</v>
      </c>
      <c r="I84" s="835" t="s">
        <v>465</v>
      </c>
      <c r="J84" s="835" t="s">
        <v>77</v>
      </c>
      <c r="K84" s="835" t="s">
        <v>499</v>
      </c>
    </row>
    <row r="85" spans="1:11" x14ac:dyDescent="0.35">
      <c r="A85" s="1856"/>
      <c r="B85" s="835">
        <v>81</v>
      </c>
      <c r="C85" s="835" t="s">
        <v>51</v>
      </c>
      <c r="D85" s="836">
        <v>49.3</v>
      </c>
      <c r="E85" s="837">
        <f t="shared" ref="E85:E120" si="5">SUM(D85*10.7639)</f>
        <v>530.66026999999997</v>
      </c>
      <c r="F85" s="835" t="s">
        <v>347</v>
      </c>
      <c r="G85" s="835">
        <v>2</v>
      </c>
      <c r="H85" s="835" t="s">
        <v>427</v>
      </c>
      <c r="I85" s="835" t="s">
        <v>465</v>
      </c>
      <c r="J85" s="835" t="s">
        <v>77</v>
      </c>
      <c r="K85" s="835" t="s">
        <v>448</v>
      </c>
    </row>
    <row r="86" spans="1:11" x14ac:dyDescent="0.35">
      <c r="A86" s="1856"/>
      <c r="B86" s="835">
        <v>82</v>
      </c>
      <c r="C86" s="835" t="s">
        <v>51</v>
      </c>
      <c r="D86" s="836">
        <v>72.7</v>
      </c>
      <c r="E86" s="837">
        <f t="shared" si="5"/>
        <v>782.53552999999999</v>
      </c>
      <c r="F86" s="835" t="s">
        <v>343</v>
      </c>
      <c r="G86" s="835">
        <v>2</v>
      </c>
      <c r="H86" s="835" t="s">
        <v>427</v>
      </c>
      <c r="I86" s="835" t="s">
        <v>482</v>
      </c>
      <c r="J86" s="835">
        <v>70</v>
      </c>
      <c r="K86" s="835" t="s">
        <v>500</v>
      </c>
    </row>
    <row r="87" spans="1:11" x14ac:dyDescent="0.35">
      <c r="A87" s="1856"/>
      <c r="B87" s="835">
        <v>83</v>
      </c>
      <c r="C87" s="835" t="s">
        <v>15</v>
      </c>
      <c r="D87" s="836">
        <v>78</v>
      </c>
      <c r="E87" s="837">
        <f t="shared" si="5"/>
        <v>839.58420000000001</v>
      </c>
      <c r="F87" s="835" t="s">
        <v>345</v>
      </c>
      <c r="G87" s="835">
        <v>2</v>
      </c>
      <c r="H87" s="835" t="s">
        <v>427</v>
      </c>
      <c r="I87" s="835" t="s">
        <v>431</v>
      </c>
      <c r="J87" s="835">
        <v>70</v>
      </c>
      <c r="K87" s="835" t="s">
        <v>501</v>
      </c>
    </row>
    <row r="88" spans="1:11" x14ac:dyDescent="0.35">
      <c r="A88" s="1856"/>
      <c r="B88" s="835">
        <v>84</v>
      </c>
      <c r="C88" s="835" t="s">
        <v>15</v>
      </c>
      <c r="D88" s="836">
        <v>90.2</v>
      </c>
      <c r="E88" s="837">
        <f t="shared" si="5"/>
        <v>970.90377999999998</v>
      </c>
      <c r="F88" s="835" t="s">
        <v>345</v>
      </c>
      <c r="G88" s="835">
        <v>2</v>
      </c>
      <c r="H88" s="835" t="s">
        <v>427</v>
      </c>
      <c r="I88" s="835" t="s">
        <v>431</v>
      </c>
      <c r="J88" s="835">
        <v>70</v>
      </c>
      <c r="K88" s="835" t="s">
        <v>501</v>
      </c>
    </row>
    <row r="89" spans="1:11" x14ac:dyDescent="0.35">
      <c r="A89" s="1856"/>
      <c r="B89" s="835">
        <v>85</v>
      </c>
      <c r="C89" s="835" t="s">
        <v>15</v>
      </c>
      <c r="D89" s="836">
        <v>78</v>
      </c>
      <c r="E89" s="837">
        <f t="shared" si="5"/>
        <v>839.58420000000001</v>
      </c>
      <c r="F89" s="835" t="s">
        <v>345</v>
      </c>
      <c r="G89" s="835">
        <v>2</v>
      </c>
      <c r="H89" s="835" t="s">
        <v>427</v>
      </c>
      <c r="I89" s="835" t="s">
        <v>431</v>
      </c>
      <c r="J89" s="835">
        <v>70</v>
      </c>
      <c r="K89" s="835" t="s">
        <v>501</v>
      </c>
    </row>
    <row r="90" spans="1:11" x14ac:dyDescent="0.35">
      <c r="A90" s="1857"/>
      <c r="B90" s="835">
        <v>86</v>
      </c>
      <c r="C90" s="835" t="s">
        <v>15</v>
      </c>
      <c r="D90" s="836">
        <v>78</v>
      </c>
      <c r="E90" s="837">
        <f t="shared" si="5"/>
        <v>839.58420000000001</v>
      </c>
      <c r="F90" s="835" t="s">
        <v>345</v>
      </c>
      <c r="G90" s="835">
        <v>2</v>
      </c>
      <c r="H90" s="835" t="s">
        <v>427</v>
      </c>
      <c r="I90" s="835" t="s">
        <v>431</v>
      </c>
      <c r="J90" s="835">
        <v>70</v>
      </c>
      <c r="K90" s="835" t="s">
        <v>501</v>
      </c>
    </row>
    <row r="91" spans="1:11" x14ac:dyDescent="0.35">
      <c r="A91" s="1858" t="s">
        <v>119</v>
      </c>
      <c r="B91" s="842">
        <v>87</v>
      </c>
      <c r="C91" s="842" t="s">
        <v>15</v>
      </c>
      <c r="D91" s="843">
        <v>99.1</v>
      </c>
      <c r="E91" s="844">
        <f t="shared" si="5"/>
        <v>1066.7024899999999</v>
      </c>
      <c r="F91" s="842" t="s">
        <v>348</v>
      </c>
      <c r="G91" s="842">
        <v>3</v>
      </c>
      <c r="H91" s="842" t="s">
        <v>476</v>
      </c>
      <c r="I91" s="842" t="s">
        <v>502</v>
      </c>
      <c r="J91" s="842">
        <v>263</v>
      </c>
      <c r="K91" s="842" t="s">
        <v>503</v>
      </c>
    </row>
    <row r="92" spans="1:11" ht="30" x14ac:dyDescent="0.35">
      <c r="A92" s="1859"/>
      <c r="B92" s="842">
        <v>88</v>
      </c>
      <c r="C92" s="842" t="s">
        <v>15</v>
      </c>
      <c r="D92" s="843">
        <v>131.4</v>
      </c>
      <c r="E92" s="844">
        <f t="shared" si="5"/>
        <v>1414.37646</v>
      </c>
      <c r="F92" s="842" t="s">
        <v>351</v>
      </c>
      <c r="G92" s="842">
        <v>3</v>
      </c>
      <c r="H92" s="842" t="s">
        <v>476</v>
      </c>
      <c r="I92" s="842" t="s">
        <v>504</v>
      </c>
      <c r="J92" s="842">
        <v>477</v>
      </c>
      <c r="K92" s="845" t="s">
        <v>505</v>
      </c>
    </row>
    <row r="93" spans="1:11" ht="30" x14ac:dyDescent="0.35">
      <c r="A93" s="1859"/>
      <c r="B93" s="842">
        <v>89</v>
      </c>
      <c r="C93" s="842" t="s">
        <v>15</v>
      </c>
      <c r="D93" s="846">
        <v>131.4</v>
      </c>
      <c r="E93" s="847">
        <f t="shared" si="5"/>
        <v>1414.37646</v>
      </c>
      <c r="F93" s="842" t="s">
        <v>351</v>
      </c>
      <c r="G93" s="842">
        <v>3</v>
      </c>
      <c r="H93" s="842" t="s">
        <v>476</v>
      </c>
      <c r="I93" s="842" t="s">
        <v>495</v>
      </c>
      <c r="J93" s="842">
        <v>144</v>
      </c>
      <c r="K93" s="845" t="s">
        <v>505</v>
      </c>
    </row>
    <row r="94" spans="1:11" x14ac:dyDescent="0.35">
      <c r="A94" s="1859"/>
      <c r="B94" s="842">
        <v>90</v>
      </c>
      <c r="C94" s="842" t="s">
        <v>15</v>
      </c>
      <c r="D94" s="846">
        <v>77.099999999999994</v>
      </c>
      <c r="E94" s="847">
        <f t="shared" si="5"/>
        <v>829.89668999999992</v>
      </c>
      <c r="F94" s="842" t="s">
        <v>343</v>
      </c>
      <c r="G94" s="842">
        <v>3</v>
      </c>
      <c r="H94" s="842" t="s">
        <v>476</v>
      </c>
      <c r="I94" s="842" t="s">
        <v>495</v>
      </c>
      <c r="J94" s="842">
        <v>99</v>
      </c>
      <c r="K94" s="842" t="s">
        <v>506</v>
      </c>
    </row>
    <row r="95" spans="1:11" x14ac:dyDescent="0.35">
      <c r="A95" s="1859"/>
      <c r="B95" s="842">
        <v>91</v>
      </c>
      <c r="C95" s="842" t="s">
        <v>15</v>
      </c>
      <c r="D95" s="846">
        <v>70</v>
      </c>
      <c r="E95" s="847">
        <f>SUM(D95*10.7639)</f>
        <v>753.47299999999996</v>
      </c>
      <c r="F95" s="842" t="s">
        <v>343</v>
      </c>
      <c r="G95" s="842">
        <v>3</v>
      </c>
      <c r="H95" s="842" t="s">
        <v>476</v>
      </c>
      <c r="I95" s="842" t="s">
        <v>495</v>
      </c>
      <c r="J95" s="842">
        <v>96</v>
      </c>
      <c r="K95" s="842" t="s">
        <v>507</v>
      </c>
    </row>
    <row r="96" spans="1:11" x14ac:dyDescent="0.35">
      <c r="A96" s="1859"/>
      <c r="B96" s="842">
        <v>92</v>
      </c>
      <c r="C96" s="842" t="s">
        <v>15</v>
      </c>
      <c r="D96" s="846">
        <v>70</v>
      </c>
      <c r="E96" s="847">
        <f t="shared" si="5"/>
        <v>753.47299999999996</v>
      </c>
      <c r="F96" s="842" t="s">
        <v>343</v>
      </c>
      <c r="G96" s="842">
        <v>3</v>
      </c>
      <c r="H96" s="842" t="s">
        <v>476</v>
      </c>
      <c r="I96" s="842" t="s">
        <v>495</v>
      </c>
      <c r="J96" s="842">
        <v>93</v>
      </c>
      <c r="K96" s="842" t="s">
        <v>508</v>
      </c>
    </row>
    <row r="97" spans="1:11" x14ac:dyDescent="0.35">
      <c r="A97" s="1859"/>
      <c r="B97" s="842">
        <v>93</v>
      </c>
      <c r="C97" s="842" t="s">
        <v>15</v>
      </c>
      <c r="D97" s="846">
        <v>76.599999999999994</v>
      </c>
      <c r="E97" s="847">
        <f t="shared" si="5"/>
        <v>824.51473999999996</v>
      </c>
      <c r="F97" s="842" t="s">
        <v>343</v>
      </c>
      <c r="G97" s="842">
        <v>2</v>
      </c>
      <c r="H97" s="842" t="s">
        <v>476</v>
      </c>
      <c r="I97" s="842" t="s">
        <v>465</v>
      </c>
      <c r="J97" s="842" t="s">
        <v>77</v>
      </c>
      <c r="K97" s="842" t="s">
        <v>509</v>
      </c>
    </row>
    <row r="98" spans="1:11" x14ac:dyDescent="0.35">
      <c r="A98" s="1859"/>
      <c r="B98" s="842">
        <v>94</v>
      </c>
      <c r="C98" s="842" t="s">
        <v>15</v>
      </c>
      <c r="D98" s="843">
        <v>74.2</v>
      </c>
      <c r="E98" s="844">
        <f t="shared" si="5"/>
        <v>798.68137999999999</v>
      </c>
      <c r="F98" s="842" t="s">
        <v>343</v>
      </c>
      <c r="G98" s="842">
        <v>2</v>
      </c>
      <c r="H98" s="842" t="s">
        <v>427</v>
      </c>
      <c r="I98" s="842" t="s">
        <v>510</v>
      </c>
      <c r="J98" s="842">
        <v>123</v>
      </c>
      <c r="K98" s="842" t="s">
        <v>511</v>
      </c>
    </row>
    <row r="99" spans="1:11" x14ac:dyDescent="0.35">
      <c r="A99" s="1859"/>
      <c r="B99" s="842">
        <v>95</v>
      </c>
      <c r="C99" s="842" t="s">
        <v>15</v>
      </c>
      <c r="D99" s="846">
        <v>80.3</v>
      </c>
      <c r="E99" s="847">
        <f t="shared" si="5"/>
        <v>864.34116999999992</v>
      </c>
      <c r="F99" s="842" t="s">
        <v>345</v>
      </c>
      <c r="G99" s="842">
        <v>2</v>
      </c>
      <c r="H99" s="842" t="s">
        <v>476</v>
      </c>
      <c r="I99" s="842" t="s">
        <v>482</v>
      </c>
      <c r="J99" s="842">
        <v>108</v>
      </c>
      <c r="K99" s="842" t="s">
        <v>512</v>
      </c>
    </row>
    <row r="100" spans="1:11" x14ac:dyDescent="0.35">
      <c r="A100" s="1859"/>
      <c r="B100" s="842">
        <v>96</v>
      </c>
      <c r="C100" s="842" t="s">
        <v>15</v>
      </c>
      <c r="D100" s="843">
        <v>81</v>
      </c>
      <c r="E100" s="844">
        <f t="shared" si="5"/>
        <v>871.8759</v>
      </c>
      <c r="F100" s="842" t="s">
        <v>348</v>
      </c>
      <c r="G100" s="842">
        <v>3</v>
      </c>
      <c r="H100" s="842" t="s">
        <v>356</v>
      </c>
      <c r="I100" s="842" t="s">
        <v>513</v>
      </c>
      <c r="J100" s="842">
        <v>356</v>
      </c>
      <c r="K100" s="842" t="s">
        <v>514</v>
      </c>
    </row>
    <row r="101" spans="1:11" x14ac:dyDescent="0.35">
      <c r="A101" s="1859"/>
      <c r="B101" s="842">
        <v>97</v>
      </c>
      <c r="C101" s="842" t="s">
        <v>15</v>
      </c>
      <c r="D101" s="843">
        <v>93.4</v>
      </c>
      <c r="E101" s="844">
        <f t="shared" si="5"/>
        <v>1005.34826</v>
      </c>
      <c r="F101" s="842" t="s">
        <v>348</v>
      </c>
      <c r="G101" s="842">
        <v>3</v>
      </c>
      <c r="H101" s="842" t="s">
        <v>356</v>
      </c>
      <c r="I101" s="842" t="s">
        <v>513</v>
      </c>
      <c r="J101" s="842">
        <v>489</v>
      </c>
      <c r="K101" s="842" t="s">
        <v>501</v>
      </c>
    </row>
    <row r="102" spans="1:11" ht="30" x14ac:dyDescent="0.35">
      <c r="A102" s="1859"/>
      <c r="B102" s="842">
        <v>98</v>
      </c>
      <c r="C102" s="842" t="s">
        <v>15</v>
      </c>
      <c r="D102" s="843">
        <v>179.6</v>
      </c>
      <c r="E102" s="844">
        <f t="shared" si="5"/>
        <v>1933.1964399999999</v>
      </c>
      <c r="F102" s="842" t="s">
        <v>346</v>
      </c>
      <c r="G102" s="842">
        <v>4</v>
      </c>
      <c r="H102" s="842" t="s">
        <v>476</v>
      </c>
      <c r="I102" s="842" t="s">
        <v>515</v>
      </c>
      <c r="J102" s="842">
        <v>410</v>
      </c>
      <c r="K102" s="845" t="s">
        <v>516</v>
      </c>
    </row>
    <row r="103" spans="1:11" x14ac:dyDescent="0.35">
      <c r="A103" s="1859"/>
      <c r="B103" s="842">
        <v>99</v>
      </c>
      <c r="C103" s="842" t="s">
        <v>15</v>
      </c>
      <c r="D103" s="843">
        <v>83.1</v>
      </c>
      <c r="E103" s="844">
        <f t="shared" si="5"/>
        <v>894.4800899999999</v>
      </c>
      <c r="F103" s="842" t="s">
        <v>344</v>
      </c>
      <c r="G103" s="842">
        <v>3</v>
      </c>
      <c r="H103" s="842" t="s">
        <v>517</v>
      </c>
      <c r="I103" s="842" t="s">
        <v>486</v>
      </c>
      <c r="J103" s="842">
        <v>188</v>
      </c>
      <c r="K103" s="842" t="s">
        <v>518</v>
      </c>
    </row>
    <row r="104" spans="1:11" x14ac:dyDescent="0.35">
      <c r="A104" s="1859"/>
      <c r="B104" s="842">
        <v>100</v>
      </c>
      <c r="C104" s="842" t="s">
        <v>15</v>
      </c>
      <c r="D104" s="846">
        <v>95</v>
      </c>
      <c r="E104" s="847">
        <f t="shared" si="5"/>
        <v>1022.5704999999999</v>
      </c>
      <c r="F104" s="842" t="s">
        <v>345</v>
      </c>
      <c r="G104" s="842">
        <v>3</v>
      </c>
      <c r="H104" s="842" t="s">
        <v>430</v>
      </c>
      <c r="I104" s="842" t="s">
        <v>495</v>
      </c>
      <c r="J104" s="842">
        <v>98</v>
      </c>
      <c r="K104" s="842" t="s">
        <v>519</v>
      </c>
    </row>
    <row r="105" spans="1:11" x14ac:dyDescent="0.35">
      <c r="A105" s="1859"/>
      <c r="B105" s="842">
        <v>101</v>
      </c>
      <c r="C105" s="842" t="s">
        <v>15</v>
      </c>
      <c r="D105" s="846">
        <v>95</v>
      </c>
      <c r="E105" s="847">
        <f t="shared" si="5"/>
        <v>1022.5704999999999</v>
      </c>
      <c r="F105" s="842" t="s">
        <v>345</v>
      </c>
      <c r="G105" s="842">
        <v>3</v>
      </c>
      <c r="H105" s="842" t="s">
        <v>430</v>
      </c>
      <c r="I105" s="842" t="s">
        <v>495</v>
      </c>
      <c r="J105" s="842">
        <v>98</v>
      </c>
      <c r="K105" s="842" t="s">
        <v>519</v>
      </c>
    </row>
    <row r="106" spans="1:11" x14ac:dyDescent="0.35">
      <c r="A106" s="1859"/>
      <c r="B106" s="842">
        <v>102</v>
      </c>
      <c r="C106" s="842" t="s">
        <v>15</v>
      </c>
      <c r="D106" s="843">
        <v>83.1</v>
      </c>
      <c r="E106" s="844">
        <f t="shared" si="5"/>
        <v>894.4800899999999</v>
      </c>
      <c r="F106" s="842" t="s">
        <v>344</v>
      </c>
      <c r="G106" s="842">
        <v>3</v>
      </c>
      <c r="H106" s="842" t="s">
        <v>356</v>
      </c>
      <c r="I106" s="842" t="s">
        <v>486</v>
      </c>
      <c r="J106" s="842">
        <v>188</v>
      </c>
      <c r="K106" s="842" t="s">
        <v>518</v>
      </c>
    </row>
    <row r="107" spans="1:11" ht="30" x14ac:dyDescent="0.35">
      <c r="A107" s="1859"/>
      <c r="B107" s="842">
        <v>103</v>
      </c>
      <c r="C107" s="842" t="s">
        <v>15</v>
      </c>
      <c r="D107" s="846">
        <v>103.6</v>
      </c>
      <c r="E107" s="847">
        <f t="shared" si="5"/>
        <v>1115.14004</v>
      </c>
      <c r="F107" s="842" t="s">
        <v>348</v>
      </c>
      <c r="G107" s="842">
        <v>3</v>
      </c>
      <c r="H107" s="842" t="s">
        <v>520</v>
      </c>
      <c r="I107" s="842" t="s">
        <v>521</v>
      </c>
      <c r="J107" s="842">
        <v>316</v>
      </c>
      <c r="K107" s="845" t="s">
        <v>522</v>
      </c>
    </row>
    <row r="108" spans="1:11" x14ac:dyDescent="0.35">
      <c r="A108" s="1859"/>
      <c r="B108" s="842">
        <v>104</v>
      </c>
      <c r="C108" s="842" t="s">
        <v>15</v>
      </c>
      <c r="D108" s="846">
        <v>94.4</v>
      </c>
      <c r="E108" s="847">
        <f t="shared" si="5"/>
        <v>1016.11216</v>
      </c>
      <c r="F108" s="842" t="s">
        <v>345</v>
      </c>
      <c r="G108" s="842">
        <v>2</v>
      </c>
      <c r="H108" s="842" t="s">
        <v>520</v>
      </c>
      <c r="I108" s="842" t="s">
        <v>465</v>
      </c>
      <c r="J108" s="842" t="s">
        <v>77</v>
      </c>
      <c r="K108" s="842" t="s">
        <v>523</v>
      </c>
    </row>
    <row r="109" spans="1:11" ht="30" x14ac:dyDescent="0.35">
      <c r="A109" s="1859"/>
      <c r="B109" s="842">
        <v>105</v>
      </c>
      <c r="C109" s="842" t="s">
        <v>15</v>
      </c>
      <c r="D109" s="843">
        <v>120.7</v>
      </c>
      <c r="E109" s="844">
        <f t="shared" si="5"/>
        <v>1299.20273</v>
      </c>
      <c r="F109" s="842" t="s">
        <v>349</v>
      </c>
      <c r="G109" s="842">
        <v>3</v>
      </c>
      <c r="H109" s="842" t="s">
        <v>520</v>
      </c>
      <c r="I109" s="842" t="s">
        <v>491</v>
      </c>
      <c r="J109" s="842">
        <v>308</v>
      </c>
      <c r="K109" s="845" t="s">
        <v>524</v>
      </c>
    </row>
    <row r="110" spans="1:11" x14ac:dyDescent="0.35">
      <c r="A110" s="1859"/>
      <c r="B110" s="842">
        <v>106</v>
      </c>
      <c r="C110" s="842" t="s">
        <v>15</v>
      </c>
      <c r="D110" s="846">
        <v>89.4</v>
      </c>
      <c r="E110" s="847">
        <f t="shared" si="5"/>
        <v>962.29266000000007</v>
      </c>
      <c r="F110" s="842" t="s">
        <v>344</v>
      </c>
      <c r="G110" s="842">
        <v>3</v>
      </c>
      <c r="H110" s="842" t="s">
        <v>427</v>
      </c>
      <c r="I110" s="842" t="s">
        <v>521</v>
      </c>
      <c r="J110" s="842">
        <v>180</v>
      </c>
      <c r="K110" s="842" t="s">
        <v>496</v>
      </c>
    </row>
    <row r="111" spans="1:11" ht="30" x14ac:dyDescent="0.35">
      <c r="A111" s="1859"/>
      <c r="B111" s="842">
        <v>107</v>
      </c>
      <c r="C111" s="842" t="s">
        <v>320</v>
      </c>
      <c r="D111" s="846">
        <v>82.5</v>
      </c>
      <c r="E111" s="847">
        <f t="shared" si="5"/>
        <v>888.02175</v>
      </c>
      <c r="F111" s="842" t="s">
        <v>343</v>
      </c>
      <c r="G111" s="842">
        <v>2</v>
      </c>
      <c r="H111" s="842" t="s">
        <v>427</v>
      </c>
      <c r="I111" s="842" t="s">
        <v>525</v>
      </c>
      <c r="J111" s="842">
        <v>93</v>
      </c>
      <c r="K111" s="845" t="s">
        <v>526</v>
      </c>
    </row>
    <row r="112" spans="1:11" x14ac:dyDescent="0.35">
      <c r="A112" s="1859"/>
      <c r="B112" s="842">
        <v>108</v>
      </c>
      <c r="C112" s="842" t="s">
        <v>15</v>
      </c>
      <c r="D112" s="846">
        <v>108</v>
      </c>
      <c r="E112" s="847">
        <f t="shared" si="5"/>
        <v>1162.5011999999999</v>
      </c>
      <c r="F112" s="842" t="s">
        <v>348</v>
      </c>
      <c r="G112" s="842">
        <v>3</v>
      </c>
      <c r="H112" s="842" t="s">
        <v>476</v>
      </c>
      <c r="I112" s="842" t="s">
        <v>495</v>
      </c>
      <c r="J112" s="842">
        <v>118</v>
      </c>
      <c r="K112" s="842" t="s">
        <v>527</v>
      </c>
    </row>
    <row r="113" spans="1:11" x14ac:dyDescent="0.35">
      <c r="A113" s="1859"/>
      <c r="B113" s="842">
        <v>109</v>
      </c>
      <c r="C113" s="842" t="s">
        <v>15</v>
      </c>
      <c r="D113" s="846">
        <v>108</v>
      </c>
      <c r="E113" s="847">
        <f t="shared" si="5"/>
        <v>1162.5011999999999</v>
      </c>
      <c r="F113" s="842" t="s">
        <v>344</v>
      </c>
      <c r="G113" s="842">
        <v>3</v>
      </c>
      <c r="H113" s="842" t="s">
        <v>476</v>
      </c>
      <c r="I113" s="842" t="s">
        <v>495</v>
      </c>
      <c r="J113" s="842">
        <v>107</v>
      </c>
      <c r="K113" s="842" t="s">
        <v>523</v>
      </c>
    </row>
    <row r="114" spans="1:11" x14ac:dyDescent="0.35">
      <c r="A114" s="1859"/>
      <c r="B114" s="842">
        <v>110</v>
      </c>
      <c r="C114" s="842" t="s">
        <v>51</v>
      </c>
      <c r="D114" s="846">
        <v>72.900000000000006</v>
      </c>
      <c r="E114" s="847">
        <f t="shared" si="5"/>
        <v>784.68831</v>
      </c>
      <c r="F114" s="842" t="s">
        <v>343</v>
      </c>
      <c r="G114" s="842">
        <v>2</v>
      </c>
      <c r="H114" s="842" t="s">
        <v>427</v>
      </c>
      <c r="I114" s="842" t="s">
        <v>495</v>
      </c>
      <c r="J114" s="842">
        <v>38</v>
      </c>
      <c r="K114" s="842" t="s">
        <v>528</v>
      </c>
    </row>
    <row r="115" spans="1:11" x14ac:dyDescent="0.35">
      <c r="A115" s="1859"/>
      <c r="B115" s="842">
        <v>111</v>
      </c>
      <c r="C115" s="842" t="s">
        <v>51</v>
      </c>
      <c r="D115" s="846">
        <v>72.900000000000006</v>
      </c>
      <c r="E115" s="847">
        <f t="shared" si="5"/>
        <v>784.68831</v>
      </c>
      <c r="F115" s="842" t="s">
        <v>343</v>
      </c>
      <c r="G115" s="842">
        <v>2</v>
      </c>
      <c r="H115" s="842" t="s">
        <v>427</v>
      </c>
      <c r="I115" s="842" t="s">
        <v>521</v>
      </c>
      <c r="J115" s="842">
        <v>95</v>
      </c>
      <c r="K115" s="842" t="s">
        <v>529</v>
      </c>
    </row>
    <row r="116" spans="1:11" ht="30" x14ac:dyDescent="0.35">
      <c r="A116" s="1859"/>
      <c r="B116" s="842">
        <v>112</v>
      </c>
      <c r="C116" s="842" t="s">
        <v>51</v>
      </c>
      <c r="D116" s="846">
        <v>100.4</v>
      </c>
      <c r="E116" s="847">
        <f t="shared" si="5"/>
        <v>1080.6955600000001</v>
      </c>
      <c r="F116" s="842" t="s">
        <v>344</v>
      </c>
      <c r="G116" s="842">
        <v>2</v>
      </c>
      <c r="H116" s="842" t="s">
        <v>427</v>
      </c>
      <c r="I116" s="842" t="s">
        <v>521</v>
      </c>
      <c r="J116" s="842">
        <v>95</v>
      </c>
      <c r="K116" s="845" t="s">
        <v>530</v>
      </c>
    </row>
    <row r="117" spans="1:11" x14ac:dyDescent="0.35">
      <c r="A117" s="1859"/>
      <c r="B117" s="842">
        <v>113</v>
      </c>
      <c r="C117" s="842" t="s">
        <v>51</v>
      </c>
      <c r="D117" s="843">
        <v>79.2</v>
      </c>
      <c r="E117" s="844">
        <f t="shared" si="5"/>
        <v>852.50088000000005</v>
      </c>
      <c r="F117" s="842" t="s">
        <v>345</v>
      </c>
      <c r="G117" s="842">
        <v>2</v>
      </c>
      <c r="H117" s="842" t="s">
        <v>427</v>
      </c>
      <c r="I117" s="842" t="s">
        <v>531</v>
      </c>
      <c r="J117" s="842">
        <v>172</v>
      </c>
      <c r="K117" s="842" t="s">
        <v>532</v>
      </c>
    </row>
    <row r="118" spans="1:11" ht="30" x14ac:dyDescent="0.35">
      <c r="A118" s="1859"/>
      <c r="B118" s="842">
        <v>114</v>
      </c>
      <c r="C118" s="842" t="s">
        <v>51</v>
      </c>
      <c r="D118" s="846">
        <v>100.4</v>
      </c>
      <c r="E118" s="847">
        <f t="shared" si="5"/>
        <v>1080.6955600000001</v>
      </c>
      <c r="F118" s="842" t="s">
        <v>344</v>
      </c>
      <c r="G118" s="842">
        <v>2</v>
      </c>
      <c r="H118" s="842" t="s">
        <v>476</v>
      </c>
      <c r="I118" s="842" t="s">
        <v>482</v>
      </c>
      <c r="J118" s="842">
        <v>47</v>
      </c>
      <c r="K118" s="845" t="s">
        <v>530</v>
      </c>
    </row>
    <row r="119" spans="1:11" x14ac:dyDescent="0.35">
      <c r="A119" s="1860"/>
      <c r="B119" s="842">
        <v>115</v>
      </c>
      <c r="C119" s="842" t="s">
        <v>51</v>
      </c>
      <c r="D119" s="846">
        <v>79</v>
      </c>
      <c r="E119" s="847">
        <f t="shared" si="5"/>
        <v>850.34809999999993</v>
      </c>
      <c r="F119" s="842" t="s">
        <v>345</v>
      </c>
      <c r="G119" s="842">
        <v>2</v>
      </c>
      <c r="H119" s="842" t="s">
        <v>476</v>
      </c>
      <c r="I119" s="842" t="s">
        <v>482</v>
      </c>
      <c r="J119" s="842">
        <v>85</v>
      </c>
      <c r="K119" s="842" t="s">
        <v>532</v>
      </c>
    </row>
    <row r="120" spans="1:11" ht="15" customHeight="1" x14ac:dyDescent="0.35">
      <c r="A120" s="1861" t="s">
        <v>21</v>
      </c>
      <c r="B120" s="848">
        <v>116</v>
      </c>
      <c r="C120" s="848" t="s">
        <v>51</v>
      </c>
      <c r="D120" s="849">
        <v>87.7</v>
      </c>
      <c r="E120" s="850">
        <f t="shared" si="5"/>
        <v>943.99402999999995</v>
      </c>
      <c r="F120" s="848" t="s">
        <v>345</v>
      </c>
      <c r="G120" s="848">
        <v>2</v>
      </c>
      <c r="H120" s="848" t="s">
        <v>427</v>
      </c>
      <c r="I120" s="848" t="s">
        <v>521</v>
      </c>
      <c r="J120" s="848">
        <v>168</v>
      </c>
      <c r="K120" s="848" t="s">
        <v>533</v>
      </c>
    </row>
    <row r="121" spans="1:11" x14ac:dyDescent="0.35">
      <c r="A121" s="1862"/>
      <c r="B121" s="848">
        <v>117</v>
      </c>
      <c r="C121" s="848" t="s">
        <v>15</v>
      </c>
      <c r="D121" s="851">
        <v>83.1</v>
      </c>
      <c r="E121" s="852">
        <f>SUM(D121*10.7639)</f>
        <v>894.4800899999999</v>
      </c>
      <c r="F121" s="848" t="s">
        <v>344</v>
      </c>
      <c r="G121" s="848">
        <v>3</v>
      </c>
      <c r="H121" s="848" t="s">
        <v>356</v>
      </c>
      <c r="I121" s="848" t="s">
        <v>486</v>
      </c>
      <c r="J121" s="848">
        <v>150</v>
      </c>
      <c r="K121" s="848" t="s">
        <v>518</v>
      </c>
    </row>
    <row r="122" spans="1:11" x14ac:dyDescent="0.35">
      <c r="A122" s="1862"/>
      <c r="B122" s="848">
        <v>118</v>
      </c>
      <c r="C122" s="848" t="s">
        <v>15</v>
      </c>
      <c r="D122" s="849">
        <v>95</v>
      </c>
      <c r="E122" s="850">
        <f t="shared" ref="E122:E133" si="6">SUM(D122*10.7639)</f>
        <v>1022.5704999999999</v>
      </c>
      <c r="F122" s="848" t="s">
        <v>345</v>
      </c>
      <c r="G122" s="848">
        <v>3</v>
      </c>
      <c r="H122" s="848" t="s">
        <v>520</v>
      </c>
      <c r="I122" s="848" t="s">
        <v>465</v>
      </c>
      <c r="J122" s="848" t="s">
        <v>77</v>
      </c>
      <c r="K122" s="848" t="s">
        <v>519</v>
      </c>
    </row>
    <row r="123" spans="1:11" x14ac:dyDescent="0.35">
      <c r="A123" s="1862"/>
      <c r="B123" s="848">
        <v>119</v>
      </c>
      <c r="C123" s="848" t="s">
        <v>15</v>
      </c>
      <c r="D123" s="849">
        <v>95</v>
      </c>
      <c r="E123" s="850">
        <f t="shared" si="6"/>
        <v>1022.5704999999999</v>
      </c>
      <c r="F123" s="848" t="s">
        <v>345</v>
      </c>
      <c r="G123" s="848">
        <v>3</v>
      </c>
      <c r="H123" s="848" t="s">
        <v>520</v>
      </c>
      <c r="I123" s="848" t="s">
        <v>465</v>
      </c>
      <c r="J123" s="848" t="s">
        <v>77</v>
      </c>
      <c r="K123" s="848" t="s">
        <v>519</v>
      </c>
    </row>
    <row r="124" spans="1:11" x14ac:dyDescent="0.35">
      <c r="A124" s="1862"/>
      <c r="B124" s="848">
        <v>120</v>
      </c>
      <c r="C124" s="848" t="s">
        <v>15</v>
      </c>
      <c r="D124" s="851">
        <v>83.1</v>
      </c>
      <c r="E124" s="852">
        <f t="shared" si="6"/>
        <v>894.4800899999999</v>
      </c>
      <c r="F124" s="848" t="s">
        <v>344</v>
      </c>
      <c r="G124" s="848">
        <v>3</v>
      </c>
      <c r="H124" s="848" t="s">
        <v>356</v>
      </c>
      <c r="I124" s="848" t="s">
        <v>486</v>
      </c>
      <c r="J124" s="848">
        <v>170</v>
      </c>
      <c r="K124" s="848" t="s">
        <v>518</v>
      </c>
    </row>
    <row r="125" spans="1:11" x14ac:dyDescent="0.35">
      <c r="A125" s="1862"/>
      <c r="B125" s="848">
        <v>121</v>
      </c>
      <c r="C125" s="848" t="s">
        <v>15</v>
      </c>
      <c r="D125" s="849">
        <v>77.5</v>
      </c>
      <c r="E125" s="850">
        <f t="shared" si="6"/>
        <v>834.20224999999994</v>
      </c>
      <c r="F125" s="848" t="s">
        <v>343</v>
      </c>
      <c r="G125" s="848">
        <v>3</v>
      </c>
      <c r="H125" s="848" t="s">
        <v>427</v>
      </c>
      <c r="I125" s="848" t="s">
        <v>465</v>
      </c>
      <c r="J125" s="848" t="s">
        <v>77</v>
      </c>
      <c r="K125" s="848" t="s">
        <v>534</v>
      </c>
    </row>
    <row r="126" spans="1:11" x14ac:dyDescent="0.35">
      <c r="A126" s="1862"/>
      <c r="B126" s="848">
        <v>122</v>
      </c>
      <c r="C126" s="848" t="s">
        <v>15</v>
      </c>
      <c r="D126" s="849">
        <v>77.5</v>
      </c>
      <c r="E126" s="850">
        <f t="shared" si="6"/>
        <v>834.20224999999994</v>
      </c>
      <c r="F126" s="848" t="s">
        <v>343</v>
      </c>
      <c r="G126" s="848">
        <v>3</v>
      </c>
      <c r="H126" s="848" t="s">
        <v>427</v>
      </c>
      <c r="I126" s="848" t="s">
        <v>465</v>
      </c>
      <c r="J126" s="848" t="s">
        <v>77</v>
      </c>
      <c r="K126" s="848" t="s">
        <v>534</v>
      </c>
    </row>
    <row r="127" spans="1:11" x14ac:dyDescent="0.35">
      <c r="A127" s="1862"/>
      <c r="B127" s="848">
        <v>123</v>
      </c>
      <c r="C127" s="848" t="s">
        <v>15</v>
      </c>
      <c r="D127" s="849">
        <v>77.5</v>
      </c>
      <c r="E127" s="850">
        <f t="shared" si="6"/>
        <v>834.20224999999994</v>
      </c>
      <c r="F127" s="848" t="s">
        <v>343</v>
      </c>
      <c r="G127" s="848">
        <v>3</v>
      </c>
      <c r="H127" s="848" t="s">
        <v>427</v>
      </c>
      <c r="I127" s="848" t="s">
        <v>465</v>
      </c>
      <c r="J127" s="848" t="s">
        <v>77</v>
      </c>
      <c r="K127" s="848" t="s">
        <v>534</v>
      </c>
    </row>
    <row r="128" spans="1:11" x14ac:dyDescent="0.35">
      <c r="A128" s="1862"/>
      <c r="B128" s="848">
        <v>124</v>
      </c>
      <c r="C128" s="848" t="s">
        <v>320</v>
      </c>
      <c r="D128" s="849">
        <v>99</v>
      </c>
      <c r="E128" s="850">
        <f t="shared" si="6"/>
        <v>1065.6261</v>
      </c>
      <c r="F128" s="848" t="s">
        <v>345</v>
      </c>
      <c r="G128" s="848">
        <v>2</v>
      </c>
      <c r="H128" s="848" t="s">
        <v>427</v>
      </c>
      <c r="I128" s="848" t="s">
        <v>465</v>
      </c>
      <c r="J128" s="848" t="s">
        <v>77</v>
      </c>
      <c r="K128" s="848" t="s">
        <v>534</v>
      </c>
    </row>
    <row r="129" spans="1:11" x14ac:dyDescent="0.35">
      <c r="A129" s="1862"/>
      <c r="B129" s="848">
        <v>125</v>
      </c>
      <c r="C129" s="848" t="s">
        <v>15</v>
      </c>
      <c r="D129" s="849">
        <v>75.3</v>
      </c>
      <c r="E129" s="850">
        <f t="shared" si="6"/>
        <v>810.52166999999997</v>
      </c>
      <c r="F129" s="848" t="s">
        <v>343</v>
      </c>
      <c r="G129" s="848">
        <v>3</v>
      </c>
      <c r="H129" s="848" t="s">
        <v>427</v>
      </c>
      <c r="I129" s="848" t="s">
        <v>465</v>
      </c>
      <c r="J129" s="848" t="s">
        <v>77</v>
      </c>
      <c r="K129" s="848" t="s">
        <v>535</v>
      </c>
    </row>
    <row r="130" spans="1:11" x14ac:dyDescent="0.35">
      <c r="A130" s="1862"/>
      <c r="B130" s="848">
        <v>126</v>
      </c>
      <c r="C130" s="848" t="s">
        <v>15</v>
      </c>
      <c r="D130" s="849">
        <v>75.3</v>
      </c>
      <c r="E130" s="850">
        <f t="shared" si="6"/>
        <v>810.52166999999997</v>
      </c>
      <c r="F130" s="848" t="s">
        <v>343</v>
      </c>
      <c r="G130" s="848">
        <v>3</v>
      </c>
      <c r="H130" s="848" t="s">
        <v>427</v>
      </c>
      <c r="I130" s="848" t="s">
        <v>465</v>
      </c>
      <c r="J130" s="848" t="s">
        <v>77</v>
      </c>
      <c r="K130" s="848" t="s">
        <v>535</v>
      </c>
    </row>
    <row r="131" spans="1:11" x14ac:dyDescent="0.35">
      <c r="A131" s="1862"/>
      <c r="B131" s="848">
        <v>127</v>
      </c>
      <c r="C131" s="848" t="s">
        <v>15</v>
      </c>
      <c r="D131" s="849">
        <v>75.3</v>
      </c>
      <c r="E131" s="850">
        <f t="shared" si="6"/>
        <v>810.52166999999997</v>
      </c>
      <c r="F131" s="848" t="s">
        <v>343</v>
      </c>
      <c r="G131" s="848">
        <v>3</v>
      </c>
      <c r="H131" s="848" t="s">
        <v>427</v>
      </c>
      <c r="I131" s="848" t="s">
        <v>465</v>
      </c>
      <c r="J131" s="848" t="s">
        <v>77</v>
      </c>
      <c r="K131" s="848" t="s">
        <v>535</v>
      </c>
    </row>
    <row r="132" spans="1:11" ht="30" x14ac:dyDescent="0.35">
      <c r="A132" s="1862"/>
      <c r="B132" s="848">
        <v>128</v>
      </c>
      <c r="C132" s="848" t="s">
        <v>15</v>
      </c>
      <c r="D132" s="849">
        <v>70.599999999999994</v>
      </c>
      <c r="E132" s="850">
        <f t="shared" si="6"/>
        <v>759.93133999999986</v>
      </c>
      <c r="F132" s="848" t="s">
        <v>343</v>
      </c>
      <c r="G132" s="848">
        <v>2</v>
      </c>
      <c r="H132" s="848" t="s">
        <v>427</v>
      </c>
      <c r="I132" s="848" t="s">
        <v>465</v>
      </c>
      <c r="J132" s="848" t="s">
        <v>77</v>
      </c>
      <c r="K132" s="853" t="s">
        <v>536</v>
      </c>
    </row>
    <row r="133" spans="1:11" ht="30" x14ac:dyDescent="0.35">
      <c r="A133" s="1862"/>
      <c r="B133" s="848">
        <v>129</v>
      </c>
      <c r="C133" s="848" t="s">
        <v>15</v>
      </c>
      <c r="D133" s="849">
        <v>91.4</v>
      </c>
      <c r="E133" s="850">
        <f t="shared" si="6"/>
        <v>983.82046000000003</v>
      </c>
      <c r="F133" s="848" t="s">
        <v>348</v>
      </c>
      <c r="G133" s="848">
        <v>3</v>
      </c>
      <c r="H133" s="848" t="s">
        <v>427</v>
      </c>
      <c r="I133" s="848" t="s">
        <v>521</v>
      </c>
      <c r="J133" s="848">
        <v>113</v>
      </c>
      <c r="K133" s="853" t="s">
        <v>537</v>
      </c>
    </row>
    <row r="134" spans="1:11" ht="30" x14ac:dyDescent="0.35">
      <c r="A134" s="1862"/>
      <c r="B134" s="848">
        <v>130</v>
      </c>
      <c r="C134" s="848" t="s">
        <v>15</v>
      </c>
      <c r="D134" s="851">
        <v>108.2</v>
      </c>
      <c r="E134" s="852">
        <f>SUM(D134*10.7639)</f>
        <v>1164.65398</v>
      </c>
      <c r="F134" s="848" t="s">
        <v>348</v>
      </c>
      <c r="G134" s="848">
        <v>3</v>
      </c>
      <c r="H134" s="848" t="s">
        <v>476</v>
      </c>
      <c r="I134" s="848" t="s">
        <v>538</v>
      </c>
      <c r="J134" s="848">
        <v>236</v>
      </c>
      <c r="K134" s="853" t="s">
        <v>539</v>
      </c>
    </row>
    <row r="135" spans="1:11" x14ac:dyDescent="0.35">
      <c r="A135" s="1862"/>
      <c r="B135" s="848">
        <v>131</v>
      </c>
      <c r="C135" s="848" t="s">
        <v>15</v>
      </c>
      <c r="D135" s="851">
        <v>127.5</v>
      </c>
      <c r="E135" s="852">
        <f>SUM(D135*10.7639)</f>
        <v>1372.39725</v>
      </c>
      <c r="F135" s="848" t="s">
        <v>346</v>
      </c>
      <c r="G135" s="848">
        <v>3</v>
      </c>
      <c r="H135" s="848" t="s">
        <v>476</v>
      </c>
      <c r="I135" s="848" t="s">
        <v>510</v>
      </c>
      <c r="J135" s="848">
        <v>72</v>
      </c>
      <c r="K135" s="848" t="s">
        <v>540</v>
      </c>
    </row>
    <row r="136" spans="1:11" x14ac:dyDescent="0.35">
      <c r="A136" s="1862"/>
      <c r="B136" s="848">
        <v>132</v>
      </c>
      <c r="C136" s="848" t="s">
        <v>15</v>
      </c>
      <c r="D136" s="851">
        <v>72.599999999999994</v>
      </c>
      <c r="E136" s="852">
        <f t="shared" ref="E136:E197" si="7">SUM(D136*10.7639)</f>
        <v>781.45913999999993</v>
      </c>
      <c r="F136" s="848" t="s">
        <v>343</v>
      </c>
      <c r="G136" s="848">
        <v>3</v>
      </c>
      <c r="H136" s="848" t="s">
        <v>427</v>
      </c>
      <c r="I136" s="848" t="s">
        <v>541</v>
      </c>
      <c r="J136" s="848">
        <v>51</v>
      </c>
      <c r="K136" s="853" t="s">
        <v>542</v>
      </c>
    </row>
    <row r="137" spans="1:11" ht="30" x14ac:dyDescent="0.35">
      <c r="A137" s="1862"/>
      <c r="B137" s="848">
        <v>133</v>
      </c>
      <c r="C137" s="848" t="s">
        <v>15</v>
      </c>
      <c r="D137" s="849">
        <v>90</v>
      </c>
      <c r="E137" s="850">
        <f t="shared" si="7"/>
        <v>968.75099999999998</v>
      </c>
      <c r="F137" s="848" t="s">
        <v>344</v>
      </c>
      <c r="G137" s="848">
        <v>3</v>
      </c>
      <c r="H137" s="848" t="s">
        <v>520</v>
      </c>
      <c r="I137" s="848" t="s">
        <v>543</v>
      </c>
      <c r="J137" s="848" t="s">
        <v>77</v>
      </c>
      <c r="K137" s="853" t="s">
        <v>544</v>
      </c>
    </row>
    <row r="138" spans="1:11" x14ac:dyDescent="0.35">
      <c r="A138" s="1862"/>
      <c r="B138" s="848">
        <v>134</v>
      </c>
      <c r="C138" s="848" t="s">
        <v>15</v>
      </c>
      <c r="D138" s="849">
        <v>97.1</v>
      </c>
      <c r="E138" s="850">
        <f t="shared" si="7"/>
        <v>1045.1746899999998</v>
      </c>
      <c r="F138" s="848" t="s">
        <v>344</v>
      </c>
      <c r="G138" s="848">
        <v>3</v>
      </c>
      <c r="H138" s="848" t="s">
        <v>520</v>
      </c>
      <c r="I138" s="848" t="s">
        <v>543</v>
      </c>
      <c r="J138" s="848" t="s">
        <v>77</v>
      </c>
      <c r="K138" s="848" t="s">
        <v>545</v>
      </c>
    </row>
    <row r="139" spans="1:11" x14ac:dyDescent="0.35">
      <c r="A139" s="1862"/>
      <c r="B139" s="848">
        <v>135</v>
      </c>
      <c r="C139" s="848" t="s">
        <v>15</v>
      </c>
      <c r="D139" s="851">
        <v>91.3</v>
      </c>
      <c r="E139" s="852">
        <f t="shared" si="7"/>
        <v>982.74406999999997</v>
      </c>
      <c r="F139" s="848" t="s">
        <v>348</v>
      </c>
      <c r="G139" s="848">
        <v>3</v>
      </c>
      <c r="H139" s="848" t="s">
        <v>356</v>
      </c>
      <c r="I139" s="848" t="s">
        <v>546</v>
      </c>
      <c r="J139" s="848">
        <v>95</v>
      </c>
      <c r="K139" s="848" t="s">
        <v>514</v>
      </c>
    </row>
    <row r="140" spans="1:11" x14ac:dyDescent="0.35">
      <c r="A140" s="1862"/>
      <c r="B140" s="848">
        <v>136</v>
      </c>
      <c r="C140" s="848" t="s">
        <v>320</v>
      </c>
      <c r="D140" s="849">
        <v>88.5</v>
      </c>
      <c r="E140" s="850">
        <f t="shared" si="7"/>
        <v>952.60514999999998</v>
      </c>
      <c r="F140" s="848" t="s">
        <v>343</v>
      </c>
      <c r="G140" s="848">
        <v>2</v>
      </c>
      <c r="H140" s="848" t="s">
        <v>427</v>
      </c>
      <c r="I140" s="848" t="s">
        <v>465</v>
      </c>
      <c r="J140" s="848" t="s">
        <v>77</v>
      </c>
      <c r="K140" s="848" t="s">
        <v>547</v>
      </c>
    </row>
    <row r="141" spans="1:11" x14ac:dyDescent="0.35">
      <c r="A141" s="1862"/>
      <c r="B141" s="848">
        <v>137</v>
      </c>
      <c r="C141" s="848" t="s">
        <v>15</v>
      </c>
      <c r="D141" s="849">
        <v>89.9</v>
      </c>
      <c r="E141" s="850">
        <f t="shared" si="7"/>
        <v>967.67461000000003</v>
      </c>
      <c r="F141" s="848" t="s">
        <v>348</v>
      </c>
      <c r="G141" s="848">
        <v>3</v>
      </c>
      <c r="H141" s="848" t="s">
        <v>356</v>
      </c>
      <c r="I141" s="848" t="s">
        <v>465</v>
      </c>
      <c r="J141" s="848" t="s">
        <v>77</v>
      </c>
      <c r="K141" s="853" t="s">
        <v>548</v>
      </c>
    </row>
    <row r="142" spans="1:11" ht="30" x14ac:dyDescent="0.35">
      <c r="A142" s="1862"/>
      <c r="B142" s="848">
        <v>138</v>
      </c>
      <c r="C142" s="848" t="s">
        <v>15</v>
      </c>
      <c r="D142" s="849">
        <v>90.7</v>
      </c>
      <c r="E142" s="850">
        <f t="shared" si="7"/>
        <v>976.28572999999994</v>
      </c>
      <c r="F142" s="848" t="s">
        <v>343</v>
      </c>
      <c r="G142" s="848">
        <v>4</v>
      </c>
      <c r="H142" s="848" t="s">
        <v>520</v>
      </c>
      <c r="I142" s="848" t="s">
        <v>549</v>
      </c>
      <c r="J142" s="848">
        <v>222</v>
      </c>
      <c r="K142" s="853" t="s">
        <v>550</v>
      </c>
    </row>
    <row r="143" spans="1:11" x14ac:dyDescent="0.35">
      <c r="A143" s="1862"/>
      <c r="B143" s="848">
        <v>139</v>
      </c>
      <c r="C143" s="848" t="s">
        <v>15</v>
      </c>
      <c r="D143" s="849">
        <v>90.7</v>
      </c>
      <c r="E143" s="850">
        <f t="shared" si="7"/>
        <v>976.28572999999994</v>
      </c>
      <c r="F143" s="848" t="s">
        <v>343</v>
      </c>
      <c r="G143" s="848">
        <v>4</v>
      </c>
      <c r="H143" s="848" t="s">
        <v>520</v>
      </c>
      <c r="I143" s="848" t="s">
        <v>474</v>
      </c>
      <c r="J143" s="848">
        <v>271</v>
      </c>
      <c r="K143" s="848" t="s">
        <v>551</v>
      </c>
    </row>
    <row r="144" spans="1:11" x14ac:dyDescent="0.35">
      <c r="A144" s="1862"/>
      <c r="B144" s="848">
        <v>140</v>
      </c>
      <c r="C144" s="848" t="s">
        <v>15</v>
      </c>
      <c r="D144" s="849">
        <v>87.6</v>
      </c>
      <c r="E144" s="850">
        <f t="shared" si="7"/>
        <v>942.91763999999989</v>
      </c>
      <c r="F144" s="848" t="s">
        <v>343</v>
      </c>
      <c r="G144" s="848">
        <v>3</v>
      </c>
      <c r="H144" s="848" t="s">
        <v>520</v>
      </c>
      <c r="I144" s="848" t="s">
        <v>474</v>
      </c>
      <c r="J144" s="848">
        <v>237</v>
      </c>
      <c r="K144" s="848" t="s">
        <v>552</v>
      </c>
    </row>
    <row r="145" spans="1:11" ht="30" x14ac:dyDescent="0.35">
      <c r="A145" s="1862"/>
      <c r="B145" s="848">
        <v>141</v>
      </c>
      <c r="C145" s="848" t="s">
        <v>15</v>
      </c>
      <c r="D145" s="849">
        <v>97.3</v>
      </c>
      <c r="E145" s="850">
        <f t="shared" si="7"/>
        <v>1047.3274699999999</v>
      </c>
      <c r="F145" s="848" t="s">
        <v>344</v>
      </c>
      <c r="G145" s="848">
        <v>3</v>
      </c>
      <c r="H145" s="848" t="s">
        <v>520</v>
      </c>
      <c r="I145" s="848" t="s">
        <v>543</v>
      </c>
      <c r="J145" s="848" t="s">
        <v>77</v>
      </c>
      <c r="K145" s="853" t="s">
        <v>553</v>
      </c>
    </row>
    <row r="146" spans="1:11" ht="30" x14ac:dyDescent="0.35">
      <c r="A146" s="1863"/>
      <c r="B146" s="848">
        <v>142</v>
      </c>
      <c r="C146" s="848" t="s">
        <v>15</v>
      </c>
      <c r="D146" s="849">
        <v>89</v>
      </c>
      <c r="E146" s="850">
        <f t="shared" si="7"/>
        <v>957.98709999999994</v>
      </c>
      <c r="F146" s="848" t="s">
        <v>345</v>
      </c>
      <c r="G146" s="848">
        <v>3</v>
      </c>
      <c r="H146" s="848" t="s">
        <v>427</v>
      </c>
      <c r="I146" s="848" t="s">
        <v>465</v>
      </c>
      <c r="J146" s="848" t="s">
        <v>77</v>
      </c>
      <c r="K146" s="853" t="s">
        <v>554</v>
      </c>
    </row>
    <row r="147" spans="1:11" ht="15" customHeight="1" x14ac:dyDescent="0.35">
      <c r="A147" s="1864" t="s">
        <v>25</v>
      </c>
      <c r="B147" s="854">
        <v>143</v>
      </c>
      <c r="C147" s="854" t="s">
        <v>342</v>
      </c>
      <c r="D147" s="855">
        <v>38.200000000000003</v>
      </c>
      <c r="E147" s="856">
        <f t="shared" si="7"/>
        <v>411.18098000000003</v>
      </c>
      <c r="F147" s="854" t="s">
        <v>347</v>
      </c>
      <c r="G147" s="854">
        <v>1</v>
      </c>
      <c r="H147" s="854" t="s">
        <v>427</v>
      </c>
      <c r="I147" s="854" t="s">
        <v>555</v>
      </c>
      <c r="J147" s="854" t="s">
        <v>77</v>
      </c>
      <c r="K147" s="854" t="s">
        <v>556</v>
      </c>
    </row>
    <row r="148" spans="1:11" x14ac:dyDescent="0.35">
      <c r="A148" s="1865"/>
      <c r="B148" s="854">
        <v>144</v>
      </c>
      <c r="C148" s="854" t="s">
        <v>17</v>
      </c>
      <c r="D148" s="857">
        <v>52.1</v>
      </c>
      <c r="E148" s="858">
        <f t="shared" si="7"/>
        <v>560.79918999999995</v>
      </c>
      <c r="F148" s="854" t="s">
        <v>347</v>
      </c>
      <c r="G148" s="854">
        <v>1</v>
      </c>
      <c r="H148" s="854" t="s">
        <v>427</v>
      </c>
      <c r="I148" s="854" t="s">
        <v>555</v>
      </c>
      <c r="J148" s="854" t="s">
        <v>77</v>
      </c>
      <c r="K148" s="854" t="s">
        <v>556</v>
      </c>
    </row>
    <row r="149" spans="1:11" x14ac:dyDescent="0.35">
      <c r="A149" s="1865"/>
      <c r="B149" s="854">
        <v>145</v>
      </c>
      <c r="C149" s="854" t="s">
        <v>17</v>
      </c>
      <c r="D149" s="857">
        <v>38.200000000000003</v>
      </c>
      <c r="E149" s="858">
        <f t="shared" si="7"/>
        <v>411.18098000000003</v>
      </c>
      <c r="F149" s="854" t="s">
        <v>347</v>
      </c>
      <c r="G149" s="859">
        <v>1</v>
      </c>
      <c r="H149" s="854" t="s">
        <v>427</v>
      </c>
      <c r="I149" s="854" t="s">
        <v>557</v>
      </c>
      <c r="J149" s="854">
        <v>155</v>
      </c>
      <c r="K149" s="854" t="s">
        <v>556</v>
      </c>
    </row>
    <row r="150" spans="1:11" x14ac:dyDescent="0.35">
      <c r="A150" s="1865"/>
      <c r="B150" s="854">
        <v>146</v>
      </c>
      <c r="C150" s="854" t="s">
        <v>17</v>
      </c>
      <c r="D150" s="857">
        <v>52.1</v>
      </c>
      <c r="E150" s="858">
        <f t="shared" si="7"/>
        <v>560.79918999999995</v>
      </c>
      <c r="F150" s="854" t="s">
        <v>347</v>
      </c>
      <c r="G150" s="854">
        <v>1</v>
      </c>
      <c r="H150" s="854" t="s">
        <v>427</v>
      </c>
      <c r="I150" s="854" t="s">
        <v>555</v>
      </c>
      <c r="J150" s="854" t="s">
        <v>77</v>
      </c>
      <c r="K150" s="854" t="s">
        <v>556</v>
      </c>
    </row>
    <row r="151" spans="1:11" x14ac:dyDescent="0.35">
      <c r="A151" s="1865"/>
      <c r="B151" s="854">
        <v>147</v>
      </c>
      <c r="C151" s="854" t="s">
        <v>17</v>
      </c>
      <c r="D151" s="857">
        <v>38.200000000000003</v>
      </c>
      <c r="E151" s="858">
        <f t="shared" si="7"/>
        <v>411.18098000000003</v>
      </c>
      <c r="F151" s="854" t="s">
        <v>347</v>
      </c>
      <c r="G151" s="854">
        <v>1</v>
      </c>
      <c r="H151" s="854" t="s">
        <v>427</v>
      </c>
      <c r="I151" s="854" t="s">
        <v>557</v>
      </c>
      <c r="J151" s="854">
        <v>76</v>
      </c>
      <c r="K151" s="854" t="s">
        <v>556</v>
      </c>
    </row>
    <row r="152" spans="1:11" x14ac:dyDescent="0.35">
      <c r="A152" s="1865"/>
      <c r="B152" s="854">
        <v>148</v>
      </c>
      <c r="C152" s="854" t="s">
        <v>17</v>
      </c>
      <c r="D152" s="857">
        <v>52.1</v>
      </c>
      <c r="E152" s="858">
        <f t="shared" si="7"/>
        <v>560.79918999999995</v>
      </c>
      <c r="F152" s="854" t="s">
        <v>347</v>
      </c>
      <c r="G152" s="859">
        <v>1</v>
      </c>
      <c r="H152" s="854" t="s">
        <v>427</v>
      </c>
      <c r="I152" s="854" t="s">
        <v>555</v>
      </c>
      <c r="J152" s="854" t="s">
        <v>77</v>
      </c>
      <c r="K152" s="854" t="s">
        <v>556</v>
      </c>
    </row>
    <row r="153" spans="1:11" x14ac:dyDescent="0.35">
      <c r="A153" s="1865"/>
      <c r="B153" s="854">
        <v>149</v>
      </c>
      <c r="C153" s="854" t="s">
        <v>16</v>
      </c>
      <c r="D153" s="857">
        <v>70</v>
      </c>
      <c r="E153" s="858">
        <f t="shared" si="7"/>
        <v>753.47299999999996</v>
      </c>
      <c r="F153" s="854" t="s">
        <v>343</v>
      </c>
      <c r="G153" s="860">
        <v>2</v>
      </c>
      <c r="H153" s="854" t="s">
        <v>427</v>
      </c>
      <c r="I153" s="854" t="s">
        <v>555</v>
      </c>
      <c r="J153" s="854" t="s">
        <v>77</v>
      </c>
      <c r="K153" s="854" t="s">
        <v>558</v>
      </c>
    </row>
    <row r="154" spans="1:11" x14ac:dyDescent="0.35">
      <c r="A154" s="1865"/>
      <c r="B154" s="854">
        <v>150</v>
      </c>
      <c r="C154" s="854" t="s">
        <v>17</v>
      </c>
      <c r="D154" s="857">
        <v>38.200000000000003</v>
      </c>
      <c r="E154" s="858">
        <f t="shared" si="7"/>
        <v>411.18098000000003</v>
      </c>
      <c r="F154" s="854" t="s">
        <v>347</v>
      </c>
      <c r="G154" s="860">
        <v>1</v>
      </c>
      <c r="H154" s="854" t="s">
        <v>427</v>
      </c>
      <c r="I154" s="854" t="s">
        <v>557</v>
      </c>
      <c r="J154" s="854">
        <v>76</v>
      </c>
      <c r="K154" s="854" t="s">
        <v>556</v>
      </c>
    </row>
    <row r="155" spans="1:11" x14ac:dyDescent="0.35">
      <c r="A155" s="1865"/>
      <c r="B155" s="854">
        <v>151</v>
      </c>
      <c r="C155" s="854" t="s">
        <v>17</v>
      </c>
      <c r="D155" s="857">
        <v>52.1</v>
      </c>
      <c r="E155" s="858">
        <f t="shared" si="7"/>
        <v>560.79918999999995</v>
      </c>
      <c r="F155" s="854" t="s">
        <v>347</v>
      </c>
      <c r="G155" s="854">
        <v>1</v>
      </c>
      <c r="H155" s="854" t="s">
        <v>427</v>
      </c>
      <c r="I155" s="854" t="s">
        <v>555</v>
      </c>
      <c r="J155" s="854" t="s">
        <v>77</v>
      </c>
      <c r="K155" s="854" t="s">
        <v>556</v>
      </c>
    </row>
    <row r="156" spans="1:11" x14ac:dyDescent="0.35">
      <c r="A156" s="1865"/>
      <c r="B156" s="854">
        <v>152</v>
      </c>
      <c r="C156" s="854" t="s">
        <v>17</v>
      </c>
      <c r="D156" s="857">
        <v>38.200000000000003</v>
      </c>
      <c r="E156" s="858">
        <f t="shared" si="7"/>
        <v>411.18098000000003</v>
      </c>
      <c r="F156" s="854" t="s">
        <v>347</v>
      </c>
      <c r="G156" s="859">
        <v>1</v>
      </c>
      <c r="H156" s="854" t="s">
        <v>427</v>
      </c>
      <c r="I156" s="854" t="s">
        <v>557</v>
      </c>
      <c r="J156" s="854">
        <v>76</v>
      </c>
      <c r="K156" s="854" t="s">
        <v>556</v>
      </c>
    </row>
    <row r="157" spans="1:11" x14ac:dyDescent="0.35">
      <c r="A157" s="1865"/>
      <c r="B157" s="854">
        <v>153</v>
      </c>
      <c r="C157" s="854" t="s">
        <v>17</v>
      </c>
      <c r="D157" s="857">
        <v>49.8</v>
      </c>
      <c r="E157" s="858">
        <f t="shared" si="7"/>
        <v>536.04221999999993</v>
      </c>
      <c r="F157" s="854" t="s">
        <v>347</v>
      </c>
      <c r="G157" s="860">
        <v>1</v>
      </c>
      <c r="H157" s="854" t="s">
        <v>427</v>
      </c>
      <c r="I157" s="854" t="s">
        <v>555</v>
      </c>
      <c r="J157" s="854" t="s">
        <v>77</v>
      </c>
      <c r="K157" s="854" t="s">
        <v>556</v>
      </c>
    </row>
    <row r="158" spans="1:11" x14ac:dyDescent="0.35">
      <c r="A158" s="1865"/>
      <c r="B158" s="854">
        <v>154</v>
      </c>
      <c r="C158" s="854" t="s">
        <v>17</v>
      </c>
      <c r="D158" s="857">
        <v>37.200000000000003</v>
      </c>
      <c r="E158" s="858">
        <f t="shared" si="7"/>
        <v>400.41708</v>
      </c>
      <c r="F158" s="854" t="s">
        <v>347</v>
      </c>
      <c r="G158" s="860">
        <v>1</v>
      </c>
      <c r="H158" s="854" t="s">
        <v>427</v>
      </c>
      <c r="I158" s="854" t="s">
        <v>557</v>
      </c>
      <c r="J158" s="854">
        <v>44</v>
      </c>
      <c r="K158" s="854" t="s">
        <v>556</v>
      </c>
    </row>
    <row r="159" spans="1:11" x14ac:dyDescent="0.35">
      <c r="A159" s="1865"/>
      <c r="B159" s="854">
        <v>155</v>
      </c>
      <c r="C159" s="854" t="s">
        <v>17</v>
      </c>
      <c r="D159" s="857">
        <v>49.8</v>
      </c>
      <c r="E159" s="858">
        <f t="shared" si="7"/>
        <v>536.04221999999993</v>
      </c>
      <c r="F159" s="854" t="s">
        <v>347</v>
      </c>
      <c r="G159" s="860">
        <v>1</v>
      </c>
      <c r="H159" s="854" t="s">
        <v>427</v>
      </c>
      <c r="I159" s="854" t="s">
        <v>555</v>
      </c>
      <c r="J159" s="854" t="s">
        <v>77</v>
      </c>
      <c r="K159" s="854" t="s">
        <v>556</v>
      </c>
    </row>
    <row r="160" spans="1:11" x14ac:dyDescent="0.35">
      <c r="A160" s="1865"/>
      <c r="B160" s="854">
        <v>156</v>
      </c>
      <c r="C160" s="854" t="s">
        <v>51</v>
      </c>
      <c r="D160" s="857">
        <v>70.099999999999994</v>
      </c>
      <c r="E160" s="858">
        <f t="shared" si="7"/>
        <v>754.5493899999999</v>
      </c>
      <c r="F160" s="854" t="s">
        <v>343</v>
      </c>
      <c r="G160" s="854">
        <v>2</v>
      </c>
      <c r="H160" s="854" t="s">
        <v>427</v>
      </c>
      <c r="I160" s="854" t="s">
        <v>555</v>
      </c>
      <c r="J160" s="854" t="s">
        <v>77</v>
      </c>
      <c r="K160" s="854" t="s">
        <v>559</v>
      </c>
    </row>
    <row r="161" spans="1:11" x14ac:dyDescent="0.35">
      <c r="A161" s="1865"/>
      <c r="B161" s="854">
        <v>157</v>
      </c>
      <c r="C161" s="854" t="s">
        <v>51</v>
      </c>
      <c r="D161" s="857">
        <v>49</v>
      </c>
      <c r="E161" s="858">
        <f t="shared" si="7"/>
        <v>527.43110000000001</v>
      </c>
      <c r="F161" s="854" t="s">
        <v>347</v>
      </c>
      <c r="G161" s="854">
        <v>2</v>
      </c>
      <c r="H161" s="854" t="s">
        <v>427</v>
      </c>
      <c r="I161" s="854" t="s">
        <v>560</v>
      </c>
      <c r="J161" s="854" t="s">
        <v>77</v>
      </c>
      <c r="K161" s="860" t="s">
        <v>561</v>
      </c>
    </row>
    <row r="162" spans="1:11" x14ac:dyDescent="0.35">
      <c r="A162" s="1865"/>
      <c r="B162" s="854">
        <v>158</v>
      </c>
      <c r="C162" s="854" t="s">
        <v>16</v>
      </c>
      <c r="D162" s="857">
        <v>49</v>
      </c>
      <c r="E162" s="858">
        <f t="shared" si="7"/>
        <v>527.43110000000001</v>
      </c>
      <c r="F162" s="854" t="s">
        <v>347</v>
      </c>
      <c r="G162" s="854">
        <v>2</v>
      </c>
      <c r="H162" s="854" t="s">
        <v>427</v>
      </c>
      <c r="I162" s="854" t="s">
        <v>562</v>
      </c>
      <c r="J162" s="854">
        <v>57</v>
      </c>
      <c r="K162" s="861" t="s">
        <v>563</v>
      </c>
    </row>
    <row r="163" spans="1:11" x14ac:dyDescent="0.35">
      <c r="A163" s="1865"/>
      <c r="B163" s="854">
        <v>159</v>
      </c>
      <c r="C163" s="854" t="s">
        <v>16</v>
      </c>
      <c r="D163" s="857">
        <v>85.2</v>
      </c>
      <c r="E163" s="858">
        <f t="shared" si="7"/>
        <v>917.08428000000004</v>
      </c>
      <c r="F163" s="854" t="s">
        <v>345</v>
      </c>
      <c r="G163" s="860">
        <v>2</v>
      </c>
      <c r="H163" s="854" t="s">
        <v>427</v>
      </c>
      <c r="I163" s="854" t="s">
        <v>562</v>
      </c>
      <c r="J163" s="854">
        <v>57</v>
      </c>
      <c r="K163" s="854" t="s">
        <v>558</v>
      </c>
    </row>
    <row r="164" spans="1:11" x14ac:dyDescent="0.35">
      <c r="A164" s="1865"/>
      <c r="B164" s="854">
        <v>160</v>
      </c>
      <c r="C164" s="854" t="s">
        <v>51</v>
      </c>
      <c r="D164" s="857">
        <v>83.8</v>
      </c>
      <c r="E164" s="858">
        <f t="shared" si="7"/>
        <v>902.01481999999999</v>
      </c>
      <c r="F164" s="854" t="s">
        <v>345</v>
      </c>
      <c r="G164" s="860">
        <v>2</v>
      </c>
      <c r="H164" s="854" t="s">
        <v>427</v>
      </c>
      <c r="I164" s="854" t="s">
        <v>560</v>
      </c>
      <c r="J164" s="854" t="s">
        <v>77</v>
      </c>
      <c r="K164" s="854" t="s">
        <v>558</v>
      </c>
    </row>
    <row r="165" spans="1:11" x14ac:dyDescent="0.35">
      <c r="A165" s="1865"/>
      <c r="B165" s="854">
        <v>161</v>
      </c>
      <c r="C165" s="854" t="s">
        <v>51</v>
      </c>
      <c r="D165" s="857">
        <v>79.599999999999994</v>
      </c>
      <c r="E165" s="858">
        <f t="shared" si="7"/>
        <v>856.80643999999995</v>
      </c>
      <c r="F165" s="854" t="s">
        <v>345</v>
      </c>
      <c r="G165" s="860">
        <v>2</v>
      </c>
      <c r="H165" s="854" t="s">
        <v>427</v>
      </c>
      <c r="I165" s="854" t="s">
        <v>525</v>
      </c>
      <c r="J165" s="854">
        <v>64</v>
      </c>
      <c r="K165" s="854" t="s">
        <v>558</v>
      </c>
    </row>
    <row r="166" spans="1:11" x14ac:dyDescent="0.35">
      <c r="A166" s="1865"/>
      <c r="B166" s="854">
        <v>162</v>
      </c>
      <c r="C166" s="854" t="s">
        <v>17</v>
      </c>
      <c r="D166" s="857">
        <v>79.599999999999994</v>
      </c>
      <c r="E166" s="858">
        <f t="shared" si="7"/>
        <v>856.80643999999995</v>
      </c>
      <c r="F166" s="854" t="s">
        <v>345</v>
      </c>
      <c r="G166" s="860">
        <v>2</v>
      </c>
      <c r="H166" s="854" t="s">
        <v>427</v>
      </c>
      <c r="I166" s="854" t="s">
        <v>562</v>
      </c>
      <c r="J166" s="854">
        <v>57</v>
      </c>
      <c r="K166" s="854" t="s">
        <v>558</v>
      </c>
    </row>
    <row r="167" spans="1:11" x14ac:dyDescent="0.35">
      <c r="A167" s="1865"/>
      <c r="B167" s="854">
        <v>163</v>
      </c>
      <c r="C167" s="854" t="s">
        <v>17</v>
      </c>
      <c r="D167" s="857">
        <v>80</v>
      </c>
      <c r="E167" s="858">
        <f t="shared" si="7"/>
        <v>861.11199999999997</v>
      </c>
      <c r="F167" s="854" t="s">
        <v>343</v>
      </c>
      <c r="G167" s="860">
        <v>2</v>
      </c>
      <c r="H167" s="854" t="s">
        <v>427</v>
      </c>
      <c r="I167" s="854" t="s">
        <v>562</v>
      </c>
      <c r="J167" s="854">
        <v>57</v>
      </c>
      <c r="K167" s="854" t="s">
        <v>558</v>
      </c>
    </row>
    <row r="168" spans="1:11" ht="15" customHeight="1" x14ac:dyDescent="0.35">
      <c r="A168" s="1866" t="s">
        <v>26</v>
      </c>
      <c r="B168" s="862">
        <v>164</v>
      </c>
      <c r="C168" s="862" t="s">
        <v>51</v>
      </c>
      <c r="D168" s="863">
        <v>80</v>
      </c>
      <c r="E168" s="864">
        <f t="shared" si="7"/>
        <v>861.11199999999997</v>
      </c>
      <c r="F168" s="862" t="s">
        <v>345</v>
      </c>
      <c r="G168" s="862">
        <v>2</v>
      </c>
      <c r="H168" s="862" t="s">
        <v>476</v>
      </c>
      <c r="I168" s="862" t="s">
        <v>447</v>
      </c>
      <c r="J168" s="862" t="s">
        <v>77</v>
      </c>
      <c r="K168" s="862" t="s">
        <v>564</v>
      </c>
    </row>
    <row r="169" spans="1:11" x14ac:dyDescent="0.35">
      <c r="A169" s="1867"/>
      <c r="B169" s="862">
        <v>165</v>
      </c>
      <c r="C169" s="862" t="s">
        <v>342</v>
      </c>
      <c r="D169" s="863">
        <v>43.2</v>
      </c>
      <c r="E169" s="864">
        <f t="shared" si="7"/>
        <v>465.00048000000004</v>
      </c>
      <c r="F169" s="862" t="s">
        <v>347</v>
      </c>
      <c r="G169" s="862">
        <v>1</v>
      </c>
      <c r="H169" s="862" t="s">
        <v>427</v>
      </c>
      <c r="I169" s="862" t="s">
        <v>447</v>
      </c>
      <c r="J169" s="862" t="s">
        <v>77</v>
      </c>
      <c r="K169" s="862" t="s">
        <v>565</v>
      </c>
    </row>
    <row r="170" spans="1:11" ht="30" x14ac:dyDescent="0.35">
      <c r="A170" s="1867"/>
      <c r="B170" s="862">
        <v>166</v>
      </c>
      <c r="C170" s="862" t="s">
        <v>17</v>
      </c>
      <c r="D170" s="863">
        <v>71.7</v>
      </c>
      <c r="E170" s="864">
        <f t="shared" si="7"/>
        <v>771.77162999999996</v>
      </c>
      <c r="F170" s="862" t="s">
        <v>345</v>
      </c>
      <c r="G170" s="862">
        <v>1</v>
      </c>
      <c r="H170" s="862" t="s">
        <v>476</v>
      </c>
      <c r="I170" s="862" t="s">
        <v>566</v>
      </c>
      <c r="J170" s="862">
        <v>76</v>
      </c>
      <c r="K170" s="865" t="s">
        <v>567</v>
      </c>
    </row>
    <row r="171" spans="1:11" ht="30" x14ac:dyDescent="0.35">
      <c r="A171" s="1867"/>
      <c r="B171" s="862">
        <v>167</v>
      </c>
      <c r="C171" s="862" t="s">
        <v>17</v>
      </c>
      <c r="D171" s="863">
        <v>52.3</v>
      </c>
      <c r="E171" s="864">
        <f t="shared" si="7"/>
        <v>562.95196999999996</v>
      </c>
      <c r="F171" s="862" t="s">
        <v>347</v>
      </c>
      <c r="G171" s="862">
        <v>1</v>
      </c>
      <c r="H171" s="862" t="s">
        <v>427</v>
      </c>
      <c r="I171" s="862" t="s">
        <v>447</v>
      </c>
      <c r="J171" s="862" t="s">
        <v>77</v>
      </c>
      <c r="K171" s="865" t="s">
        <v>568</v>
      </c>
    </row>
    <row r="172" spans="1:11" x14ac:dyDescent="0.35">
      <c r="A172" s="1867"/>
      <c r="B172" s="862">
        <v>168</v>
      </c>
      <c r="C172" s="862" t="s">
        <v>17</v>
      </c>
      <c r="D172" s="863">
        <v>71.7</v>
      </c>
      <c r="E172" s="864">
        <f t="shared" si="7"/>
        <v>771.77162999999996</v>
      </c>
      <c r="F172" s="862" t="s">
        <v>345</v>
      </c>
      <c r="G172" s="862">
        <v>1</v>
      </c>
      <c r="H172" s="862" t="s">
        <v>427</v>
      </c>
      <c r="I172" s="862" t="s">
        <v>454</v>
      </c>
      <c r="J172" s="862">
        <v>128</v>
      </c>
      <c r="K172" s="862" t="s">
        <v>558</v>
      </c>
    </row>
    <row r="173" spans="1:11" ht="30" x14ac:dyDescent="0.35">
      <c r="A173" s="1867"/>
      <c r="B173" s="862">
        <v>169</v>
      </c>
      <c r="C173" s="862" t="s">
        <v>17</v>
      </c>
      <c r="D173" s="863">
        <v>52.3</v>
      </c>
      <c r="E173" s="864">
        <f t="shared" si="7"/>
        <v>562.95196999999996</v>
      </c>
      <c r="F173" s="862" t="s">
        <v>347</v>
      </c>
      <c r="G173" s="862">
        <v>1</v>
      </c>
      <c r="H173" s="862" t="s">
        <v>427</v>
      </c>
      <c r="I173" s="862" t="s">
        <v>447</v>
      </c>
      <c r="J173" s="862" t="s">
        <v>77</v>
      </c>
      <c r="K173" s="865" t="s">
        <v>568</v>
      </c>
    </row>
    <row r="174" spans="1:11" x14ac:dyDescent="0.35">
      <c r="A174" s="1867"/>
      <c r="B174" s="862">
        <v>170</v>
      </c>
      <c r="C174" s="862" t="s">
        <v>17</v>
      </c>
      <c r="D174" s="863">
        <v>71.7</v>
      </c>
      <c r="E174" s="864">
        <f t="shared" si="7"/>
        <v>771.77162999999996</v>
      </c>
      <c r="F174" s="862" t="s">
        <v>345</v>
      </c>
      <c r="G174" s="862">
        <v>1</v>
      </c>
      <c r="H174" s="862" t="s">
        <v>427</v>
      </c>
      <c r="I174" s="862" t="s">
        <v>454</v>
      </c>
      <c r="J174" s="862">
        <v>76</v>
      </c>
      <c r="K174" s="862" t="s">
        <v>558</v>
      </c>
    </row>
    <row r="175" spans="1:11" ht="30" x14ac:dyDescent="0.35">
      <c r="A175" s="1867"/>
      <c r="B175" s="862">
        <v>171</v>
      </c>
      <c r="C175" s="862" t="s">
        <v>17</v>
      </c>
      <c r="D175" s="863">
        <v>52.3</v>
      </c>
      <c r="E175" s="864">
        <f t="shared" si="7"/>
        <v>562.95196999999996</v>
      </c>
      <c r="F175" s="862" t="s">
        <v>347</v>
      </c>
      <c r="G175" s="862">
        <v>1</v>
      </c>
      <c r="H175" s="862" t="s">
        <v>427</v>
      </c>
      <c r="I175" s="862" t="s">
        <v>447</v>
      </c>
      <c r="J175" s="862" t="s">
        <v>77</v>
      </c>
      <c r="K175" s="865" t="s">
        <v>568</v>
      </c>
    </row>
    <row r="176" spans="1:11" x14ac:dyDescent="0.35">
      <c r="A176" s="1867"/>
      <c r="B176" s="862">
        <v>172</v>
      </c>
      <c r="C176" s="862" t="s">
        <v>17</v>
      </c>
      <c r="D176" s="863">
        <v>71.7</v>
      </c>
      <c r="E176" s="864">
        <f t="shared" si="7"/>
        <v>771.77162999999996</v>
      </c>
      <c r="F176" s="862" t="s">
        <v>345</v>
      </c>
      <c r="G176" s="862">
        <v>1</v>
      </c>
      <c r="H176" s="862" t="s">
        <v>427</v>
      </c>
      <c r="I176" s="862" t="s">
        <v>454</v>
      </c>
      <c r="J176" s="862">
        <v>76</v>
      </c>
      <c r="K176" s="862" t="s">
        <v>558</v>
      </c>
    </row>
    <row r="177" spans="1:11" ht="30" x14ac:dyDescent="0.35">
      <c r="A177" s="1867"/>
      <c r="B177" s="862">
        <v>173</v>
      </c>
      <c r="C177" s="862" t="s">
        <v>17</v>
      </c>
      <c r="D177" s="863">
        <v>71.7</v>
      </c>
      <c r="E177" s="864">
        <f t="shared" si="7"/>
        <v>771.77162999999996</v>
      </c>
      <c r="F177" s="862" t="s">
        <v>345</v>
      </c>
      <c r="G177" s="862">
        <v>1</v>
      </c>
      <c r="H177" s="862" t="s">
        <v>427</v>
      </c>
      <c r="I177" s="862" t="s">
        <v>454</v>
      </c>
      <c r="J177" s="862">
        <v>76</v>
      </c>
      <c r="K177" s="865" t="s">
        <v>569</v>
      </c>
    </row>
    <row r="178" spans="1:11" ht="30" x14ac:dyDescent="0.35">
      <c r="A178" s="1867"/>
      <c r="B178" s="862">
        <v>174</v>
      </c>
      <c r="C178" s="862" t="s">
        <v>342</v>
      </c>
      <c r="D178" s="863">
        <v>54.3</v>
      </c>
      <c r="E178" s="864">
        <f t="shared" si="7"/>
        <v>584.47976999999992</v>
      </c>
      <c r="F178" s="862" t="s">
        <v>347</v>
      </c>
      <c r="G178" s="862">
        <v>1</v>
      </c>
      <c r="H178" s="862" t="s">
        <v>427</v>
      </c>
      <c r="I178" s="862" t="s">
        <v>431</v>
      </c>
      <c r="J178" s="862">
        <v>83</v>
      </c>
      <c r="K178" s="865" t="s">
        <v>568</v>
      </c>
    </row>
    <row r="179" spans="1:11" x14ac:dyDescent="0.35">
      <c r="A179" s="1867"/>
      <c r="B179" s="862">
        <v>175</v>
      </c>
      <c r="C179" s="862" t="s">
        <v>17</v>
      </c>
      <c r="D179" s="863">
        <v>54.3</v>
      </c>
      <c r="E179" s="864">
        <f t="shared" si="7"/>
        <v>584.47976999999992</v>
      </c>
      <c r="F179" s="862" t="s">
        <v>347</v>
      </c>
      <c r="G179" s="862">
        <v>1</v>
      </c>
      <c r="H179" s="862" t="s">
        <v>427</v>
      </c>
      <c r="I179" s="862" t="s">
        <v>447</v>
      </c>
      <c r="J179" s="862" t="s">
        <v>77</v>
      </c>
      <c r="K179" s="862" t="s">
        <v>570</v>
      </c>
    </row>
    <row r="180" spans="1:11" x14ac:dyDescent="0.35">
      <c r="A180" s="1867"/>
      <c r="B180" s="862">
        <v>176</v>
      </c>
      <c r="C180" s="862" t="s">
        <v>17</v>
      </c>
      <c r="D180" s="863">
        <v>54.7</v>
      </c>
      <c r="E180" s="864">
        <f t="shared" si="7"/>
        <v>588.78533000000004</v>
      </c>
      <c r="F180" s="862" t="s">
        <v>347</v>
      </c>
      <c r="G180" s="862">
        <v>1</v>
      </c>
      <c r="H180" s="862" t="s">
        <v>427</v>
      </c>
      <c r="I180" s="862" t="s">
        <v>454</v>
      </c>
      <c r="J180" s="862">
        <v>107</v>
      </c>
      <c r="K180" s="862" t="s">
        <v>561</v>
      </c>
    </row>
    <row r="181" spans="1:11" x14ac:dyDescent="0.35">
      <c r="A181" s="1867"/>
      <c r="B181" s="862">
        <v>177</v>
      </c>
      <c r="C181" s="862" t="s">
        <v>17</v>
      </c>
      <c r="D181" s="863">
        <v>54.3</v>
      </c>
      <c r="E181" s="864">
        <f t="shared" si="7"/>
        <v>584.47976999999992</v>
      </c>
      <c r="F181" s="862" t="s">
        <v>347</v>
      </c>
      <c r="G181" s="862">
        <v>1</v>
      </c>
      <c r="H181" s="862" t="s">
        <v>427</v>
      </c>
      <c r="I181" s="862" t="s">
        <v>447</v>
      </c>
      <c r="J181" s="862" t="s">
        <v>77</v>
      </c>
      <c r="K181" s="862" t="s">
        <v>571</v>
      </c>
    </row>
    <row r="182" spans="1:11" x14ac:dyDescent="0.35">
      <c r="A182" s="1867"/>
      <c r="B182" s="862">
        <v>178</v>
      </c>
      <c r="C182" s="862" t="s">
        <v>17</v>
      </c>
      <c r="D182" s="863">
        <v>54.7</v>
      </c>
      <c r="E182" s="864">
        <f t="shared" si="7"/>
        <v>588.78533000000004</v>
      </c>
      <c r="F182" s="862" t="s">
        <v>347</v>
      </c>
      <c r="G182" s="862">
        <v>1</v>
      </c>
      <c r="H182" s="862" t="s">
        <v>427</v>
      </c>
      <c r="I182" s="862" t="s">
        <v>454</v>
      </c>
      <c r="J182" s="862">
        <v>107</v>
      </c>
      <c r="K182" s="862" t="s">
        <v>561</v>
      </c>
    </row>
    <row r="183" spans="1:11" x14ac:dyDescent="0.35">
      <c r="A183" s="1867"/>
      <c r="B183" s="862">
        <v>179</v>
      </c>
      <c r="C183" s="862" t="s">
        <v>17</v>
      </c>
      <c r="D183" s="863">
        <v>54.3</v>
      </c>
      <c r="E183" s="864">
        <f t="shared" si="7"/>
        <v>584.47976999999992</v>
      </c>
      <c r="F183" s="862" t="s">
        <v>347</v>
      </c>
      <c r="G183" s="862">
        <v>1</v>
      </c>
      <c r="H183" s="862" t="s">
        <v>427</v>
      </c>
      <c r="I183" s="862" t="s">
        <v>447</v>
      </c>
      <c r="J183" s="862" t="s">
        <v>77</v>
      </c>
      <c r="K183" s="862" t="s">
        <v>571</v>
      </c>
    </row>
    <row r="184" spans="1:11" x14ac:dyDescent="0.35">
      <c r="A184" s="1867"/>
      <c r="B184" s="862">
        <v>180</v>
      </c>
      <c r="C184" s="862" t="s">
        <v>17</v>
      </c>
      <c r="D184" s="863">
        <v>54.7</v>
      </c>
      <c r="E184" s="864">
        <f t="shared" si="7"/>
        <v>588.78533000000004</v>
      </c>
      <c r="F184" s="862" t="s">
        <v>347</v>
      </c>
      <c r="G184" s="862">
        <v>1</v>
      </c>
      <c r="H184" s="862" t="s">
        <v>427</v>
      </c>
      <c r="I184" s="862" t="s">
        <v>454</v>
      </c>
      <c r="J184" s="862">
        <v>107</v>
      </c>
      <c r="K184" s="862" t="s">
        <v>561</v>
      </c>
    </row>
    <row r="185" spans="1:11" x14ac:dyDescent="0.35">
      <c r="A185" s="1867"/>
      <c r="B185" s="862">
        <v>181</v>
      </c>
      <c r="C185" s="862" t="s">
        <v>17</v>
      </c>
      <c r="D185" s="863">
        <v>54.7</v>
      </c>
      <c r="E185" s="864">
        <f t="shared" si="7"/>
        <v>588.78533000000004</v>
      </c>
      <c r="F185" s="862" t="s">
        <v>347</v>
      </c>
      <c r="G185" s="862">
        <v>1</v>
      </c>
      <c r="H185" s="862" t="s">
        <v>427</v>
      </c>
      <c r="I185" s="862" t="s">
        <v>454</v>
      </c>
      <c r="J185" s="862">
        <v>107</v>
      </c>
      <c r="K185" s="862" t="s">
        <v>558</v>
      </c>
    </row>
    <row r="186" spans="1:11" x14ac:dyDescent="0.35">
      <c r="A186" s="1867"/>
      <c r="B186" s="862">
        <v>182</v>
      </c>
      <c r="C186" s="862" t="s">
        <v>342</v>
      </c>
      <c r="D186" s="863">
        <v>54.7</v>
      </c>
      <c r="E186" s="864">
        <f t="shared" si="7"/>
        <v>588.78533000000004</v>
      </c>
      <c r="F186" s="862" t="s">
        <v>347</v>
      </c>
      <c r="G186" s="862">
        <v>1</v>
      </c>
      <c r="H186" s="862" t="s">
        <v>427</v>
      </c>
      <c r="I186" s="862" t="s">
        <v>572</v>
      </c>
      <c r="J186" s="862">
        <v>172</v>
      </c>
      <c r="K186" s="862" t="s">
        <v>571</v>
      </c>
    </row>
    <row r="187" spans="1:11" x14ac:dyDescent="0.35">
      <c r="A187" s="1867"/>
      <c r="B187" s="862">
        <v>183</v>
      </c>
      <c r="C187" s="862" t="s">
        <v>51</v>
      </c>
      <c r="D187" s="863">
        <v>93.1</v>
      </c>
      <c r="E187" s="864">
        <f t="shared" si="7"/>
        <v>1002.1190899999999</v>
      </c>
      <c r="F187" s="862" t="s">
        <v>344</v>
      </c>
      <c r="G187" s="866">
        <v>2</v>
      </c>
      <c r="H187" s="862" t="s">
        <v>476</v>
      </c>
      <c r="I187" s="862" t="s">
        <v>447</v>
      </c>
      <c r="J187" s="862" t="s">
        <v>77</v>
      </c>
      <c r="K187" s="862" t="s">
        <v>571</v>
      </c>
    </row>
    <row r="188" spans="1:11" x14ac:dyDescent="0.35">
      <c r="A188" s="1867"/>
      <c r="B188" s="862">
        <v>184</v>
      </c>
      <c r="C188" s="862" t="s">
        <v>17</v>
      </c>
      <c r="D188" s="863">
        <v>49.9</v>
      </c>
      <c r="E188" s="864">
        <f t="shared" si="7"/>
        <v>537.11860999999999</v>
      </c>
      <c r="F188" s="862" t="s">
        <v>347</v>
      </c>
      <c r="G188" s="862">
        <v>1</v>
      </c>
      <c r="H188" s="862" t="s">
        <v>427</v>
      </c>
      <c r="I188" s="862" t="s">
        <v>447</v>
      </c>
      <c r="J188" s="862" t="s">
        <v>77</v>
      </c>
      <c r="K188" s="862" t="s">
        <v>558</v>
      </c>
    </row>
    <row r="189" spans="1:11" x14ac:dyDescent="0.35">
      <c r="A189" s="1867"/>
      <c r="B189" s="862">
        <v>185</v>
      </c>
      <c r="C189" s="862" t="s">
        <v>17</v>
      </c>
      <c r="D189" s="863">
        <v>51.7</v>
      </c>
      <c r="E189" s="864">
        <f t="shared" si="7"/>
        <v>556.49363000000005</v>
      </c>
      <c r="F189" s="862" t="s">
        <v>347</v>
      </c>
      <c r="G189" s="862">
        <v>1</v>
      </c>
      <c r="H189" s="862" t="s">
        <v>427</v>
      </c>
      <c r="I189" s="862" t="s">
        <v>447</v>
      </c>
      <c r="J189" s="862" t="s">
        <v>77</v>
      </c>
      <c r="K189" s="862" t="s">
        <v>561</v>
      </c>
    </row>
    <row r="190" spans="1:11" x14ac:dyDescent="0.35">
      <c r="A190" s="1867"/>
      <c r="B190" s="862">
        <v>186</v>
      </c>
      <c r="C190" s="862" t="s">
        <v>17</v>
      </c>
      <c r="D190" s="863">
        <v>50.2</v>
      </c>
      <c r="E190" s="864">
        <f t="shared" si="7"/>
        <v>540.34778000000006</v>
      </c>
      <c r="F190" s="862" t="s">
        <v>347</v>
      </c>
      <c r="G190" s="862">
        <v>1</v>
      </c>
      <c r="H190" s="862" t="s">
        <v>427</v>
      </c>
      <c r="I190" s="862" t="s">
        <v>447</v>
      </c>
      <c r="J190" s="862" t="s">
        <v>77</v>
      </c>
      <c r="K190" s="865" t="s">
        <v>573</v>
      </c>
    </row>
    <row r="191" spans="1:11" x14ac:dyDescent="0.35">
      <c r="A191" s="1867"/>
      <c r="B191" s="862">
        <v>187</v>
      </c>
      <c r="C191" s="862" t="s">
        <v>17</v>
      </c>
      <c r="D191" s="863">
        <v>53.6</v>
      </c>
      <c r="E191" s="864">
        <f t="shared" si="7"/>
        <v>576.94503999999995</v>
      </c>
      <c r="F191" s="862" t="s">
        <v>347</v>
      </c>
      <c r="G191" s="862">
        <v>1</v>
      </c>
      <c r="H191" s="862" t="s">
        <v>427</v>
      </c>
      <c r="I191" s="862" t="s">
        <v>454</v>
      </c>
      <c r="J191" s="862">
        <v>121</v>
      </c>
      <c r="K191" s="862" t="s">
        <v>574</v>
      </c>
    </row>
    <row r="192" spans="1:11" x14ac:dyDescent="0.35">
      <c r="A192" s="1867"/>
      <c r="B192" s="862">
        <v>188</v>
      </c>
      <c r="C192" s="862" t="s">
        <v>17</v>
      </c>
      <c r="D192" s="863">
        <v>50.1</v>
      </c>
      <c r="E192" s="864">
        <f t="shared" si="7"/>
        <v>539.27139</v>
      </c>
      <c r="F192" s="862" t="s">
        <v>347</v>
      </c>
      <c r="G192" s="862">
        <v>1</v>
      </c>
      <c r="H192" s="862" t="s">
        <v>427</v>
      </c>
      <c r="I192" s="862" t="s">
        <v>447</v>
      </c>
      <c r="J192" s="862" t="s">
        <v>77</v>
      </c>
      <c r="K192" s="862" t="s">
        <v>574</v>
      </c>
    </row>
    <row r="193" spans="1:11" x14ac:dyDescent="0.35">
      <c r="A193" s="1867"/>
      <c r="B193" s="862">
        <v>189</v>
      </c>
      <c r="C193" s="862" t="s">
        <v>17</v>
      </c>
      <c r="D193" s="863">
        <v>40.5</v>
      </c>
      <c r="E193" s="864">
        <f t="shared" si="7"/>
        <v>435.93795</v>
      </c>
      <c r="F193" s="862" t="s">
        <v>347</v>
      </c>
      <c r="G193" s="862">
        <v>1</v>
      </c>
      <c r="H193" s="862" t="s">
        <v>427</v>
      </c>
      <c r="I193" s="862" t="s">
        <v>447</v>
      </c>
      <c r="J193" s="862" t="s">
        <v>77</v>
      </c>
      <c r="K193" s="862" t="s">
        <v>575</v>
      </c>
    </row>
    <row r="194" spans="1:11" x14ac:dyDescent="0.35">
      <c r="A194" s="1867"/>
      <c r="B194" s="862">
        <v>190</v>
      </c>
      <c r="C194" s="862" t="s">
        <v>17</v>
      </c>
      <c r="D194" s="863">
        <v>40.5</v>
      </c>
      <c r="E194" s="864">
        <f t="shared" si="7"/>
        <v>435.93795</v>
      </c>
      <c r="F194" s="862" t="s">
        <v>347</v>
      </c>
      <c r="G194" s="862">
        <v>1</v>
      </c>
      <c r="H194" s="862" t="s">
        <v>427</v>
      </c>
      <c r="I194" s="862" t="s">
        <v>447</v>
      </c>
      <c r="J194" s="862" t="s">
        <v>77</v>
      </c>
      <c r="K194" s="862" t="s">
        <v>576</v>
      </c>
    </row>
    <row r="195" spans="1:11" x14ac:dyDescent="0.35">
      <c r="A195" s="1867"/>
      <c r="B195" s="862">
        <v>191</v>
      </c>
      <c r="C195" s="862" t="s">
        <v>17</v>
      </c>
      <c r="D195" s="863">
        <v>40.5</v>
      </c>
      <c r="E195" s="864">
        <f t="shared" si="7"/>
        <v>435.93795</v>
      </c>
      <c r="F195" s="862" t="s">
        <v>347</v>
      </c>
      <c r="G195" s="862">
        <v>1</v>
      </c>
      <c r="H195" s="862" t="s">
        <v>427</v>
      </c>
      <c r="I195" s="862" t="s">
        <v>447</v>
      </c>
      <c r="J195" s="862" t="s">
        <v>77</v>
      </c>
      <c r="K195" s="862" t="s">
        <v>576</v>
      </c>
    </row>
    <row r="196" spans="1:11" x14ac:dyDescent="0.35">
      <c r="A196" s="1867"/>
      <c r="B196" s="862">
        <v>192</v>
      </c>
      <c r="C196" s="862" t="s">
        <v>17</v>
      </c>
      <c r="D196" s="863">
        <v>40.5</v>
      </c>
      <c r="E196" s="864">
        <f t="shared" si="7"/>
        <v>435.93795</v>
      </c>
      <c r="F196" s="862" t="s">
        <v>347</v>
      </c>
      <c r="G196" s="862">
        <v>1</v>
      </c>
      <c r="H196" s="862" t="s">
        <v>427</v>
      </c>
      <c r="I196" s="862" t="s">
        <v>447</v>
      </c>
      <c r="J196" s="862" t="s">
        <v>77</v>
      </c>
      <c r="K196" s="862" t="s">
        <v>576</v>
      </c>
    </row>
    <row r="197" spans="1:11" x14ac:dyDescent="0.35">
      <c r="A197" s="1867"/>
      <c r="B197" s="862">
        <v>193</v>
      </c>
      <c r="C197" s="862" t="s">
        <v>17</v>
      </c>
      <c r="D197" s="863">
        <v>40.5</v>
      </c>
      <c r="E197" s="864">
        <f t="shared" si="7"/>
        <v>435.93795</v>
      </c>
      <c r="F197" s="862" t="s">
        <v>347</v>
      </c>
      <c r="G197" s="862">
        <v>1</v>
      </c>
      <c r="H197" s="862" t="s">
        <v>427</v>
      </c>
      <c r="I197" s="862" t="s">
        <v>447</v>
      </c>
      <c r="J197" s="862" t="s">
        <v>77</v>
      </c>
      <c r="K197" s="862" t="s">
        <v>576</v>
      </c>
    </row>
    <row r="198" spans="1:11" ht="30" x14ac:dyDescent="0.35">
      <c r="A198" s="1867"/>
      <c r="B198" s="862">
        <v>194</v>
      </c>
      <c r="C198" s="862" t="s">
        <v>17</v>
      </c>
      <c r="D198" s="863">
        <v>73.5</v>
      </c>
      <c r="E198" s="864">
        <f>SUM(D198*10.7639)</f>
        <v>791.14665000000002</v>
      </c>
      <c r="F198" s="862" t="s">
        <v>347</v>
      </c>
      <c r="G198" s="862">
        <v>1</v>
      </c>
      <c r="H198" s="862" t="s">
        <v>427</v>
      </c>
      <c r="I198" s="862" t="s">
        <v>447</v>
      </c>
      <c r="J198" s="862" t="s">
        <v>77</v>
      </c>
      <c r="K198" s="865" t="s">
        <v>577</v>
      </c>
    </row>
    <row r="199" spans="1:11" x14ac:dyDescent="0.35">
      <c r="A199" s="1867"/>
      <c r="B199" s="862">
        <v>195</v>
      </c>
      <c r="C199" s="862" t="s">
        <v>17</v>
      </c>
      <c r="D199" s="863">
        <v>49.9</v>
      </c>
      <c r="E199" s="864">
        <f t="shared" ref="E199:E262" si="8">SUM(D199*10.7639)</f>
        <v>537.11860999999999</v>
      </c>
      <c r="F199" s="862" t="s">
        <v>347</v>
      </c>
      <c r="G199" s="862">
        <v>1</v>
      </c>
      <c r="H199" s="862" t="s">
        <v>427</v>
      </c>
      <c r="I199" s="862" t="s">
        <v>447</v>
      </c>
      <c r="J199" s="862" t="s">
        <v>77</v>
      </c>
      <c r="K199" s="862" t="s">
        <v>561</v>
      </c>
    </row>
    <row r="200" spans="1:11" x14ac:dyDescent="0.35">
      <c r="A200" s="1867"/>
      <c r="B200" s="862">
        <v>196</v>
      </c>
      <c r="C200" s="862" t="s">
        <v>17</v>
      </c>
      <c r="D200" s="863">
        <v>51.7</v>
      </c>
      <c r="E200" s="864">
        <f t="shared" si="8"/>
        <v>556.49363000000005</v>
      </c>
      <c r="F200" s="862" t="s">
        <v>347</v>
      </c>
      <c r="G200" s="862">
        <v>1</v>
      </c>
      <c r="H200" s="862" t="s">
        <v>427</v>
      </c>
      <c r="I200" s="862" t="s">
        <v>447</v>
      </c>
      <c r="J200" s="862" t="s">
        <v>77</v>
      </c>
      <c r="K200" s="865" t="s">
        <v>578</v>
      </c>
    </row>
    <row r="201" spans="1:11" x14ac:dyDescent="0.35">
      <c r="A201" s="1867"/>
      <c r="B201" s="862">
        <v>197</v>
      </c>
      <c r="C201" s="862" t="s">
        <v>17</v>
      </c>
      <c r="D201" s="863">
        <v>50.2</v>
      </c>
      <c r="E201" s="864">
        <f t="shared" si="8"/>
        <v>540.34778000000006</v>
      </c>
      <c r="F201" s="862" t="s">
        <v>347</v>
      </c>
      <c r="G201" s="862">
        <v>1</v>
      </c>
      <c r="H201" s="862" t="s">
        <v>427</v>
      </c>
      <c r="I201" s="862" t="s">
        <v>447</v>
      </c>
      <c r="J201" s="862" t="s">
        <v>77</v>
      </c>
      <c r="K201" s="862" t="s">
        <v>574</v>
      </c>
    </row>
    <row r="202" spans="1:11" x14ac:dyDescent="0.35">
      <c r="A202" s="1867"/>
      <c r="B202" s="862">
        <v>198</v>
      </c>
      <c r="C202" s="862" t="s">
        <v>17</v>
      </c>
      <c r="D202" s="863">
        <v>53.6</v>
      </c>
      <c r="E202" s="864">
        <f t="shared" si="8"/>
        <v>576.94503999999995</v>
      </c>
      <c r="F202" s="862" t="s">
        <v>347</v>
      </c>
      <c r="G202" s="862">
        <v>1</v>
      </c>
      <c r="H202" s="862" t="s">
        <v>427</v>
      </c>
      <c r="I202" s="862" t="s">
        <v>454</v>
      </c>
      <c r="J202" s="862">
        <v>84</v>
      </c>
      <c r="K202" s="862" t="s">
        <v>574</v>
      </c>
    </row>
    <row r="203" spans="1:11" x14ac:dyDescent="0.35">
      <c r="A203" s="1867"/>
      <c r="B203" s="862">
        <v>199</v>
      </c>
      <c r="C203" s="862" t="s">
        <v>17</v>
      </c>
      <c r="D203" s="863">
        <v>50.1</v>
      </c>
      <c r="E203" s="864">
        <f t="shared" si="8"/>
        <v>539.27139</v>
      </c>
      <c r="F203" s="862" t="s">
        <v>347</v>
      </c>
      <c r="G203" s="862">
        <v>1</v>
      </c>
      <c r="H203" s="862" t="s">
        <v>427</v>
      </c>
      <c r="I203" s="862" t="s">
        <v>447</v>
      </c>
      <c r="J203" s="862" t="s">
        <v>77</v>
      </c>
      <c r="K203" s="862" t="s">
        <v>574</v>
      </c>
    </row>
    <row r="204" spans="1:11" ht="30" x14ac:dyDescent="0.35">
      <c r="A204" s="1867"/>
      <c r="B204" s="862">
        <v>200</v>
      </c>
      <c r="C204" s="862" t="s">
        <v>16</v>
      </c>
      <c r="D204" s="863">
        <v>81</v>
      </c>
      <c r="E204" s="864">
        <f t="shared" si="8"/>
        <v>871.8759</v>
      </c>
      <c r="F204" s="862" t="s">
        <v>343</v>
      </c>
      <c r="G204" s="866">
        <v>2</v>
      </c>
      <c r="H204" s="862" t="s">
        <v>427</v>
      </c>
      <c r="I204" s="862" t="s">
        <v>447</v>
      </c>
      <c r="J204" s="862" t="s">
        <v>77</v>
      </c>
      <c r="K204" s="865" t="s">
        <v>577</v>
      </c>
    </row>
    <row r="205" spans="1:11" ht="30" x14ac:dyDescent="0.35">
      <c r="A205" s="1867"/>
      <c r="B205" s="862">
        <v>201</v>
      </c>
      <c r="C205" s="862" t="s">
        <v>16</v>
      </c>
      <c r="D205" s="863">
        <v>87.2</v>
      </c>
      <c r="E205" s="864">
        <f t="shared" si="8"/>
        <v>938.61207999999999</v>
      </c>
      <c r="F205" s="862" t="s">
        <v>345</v>
      </c>
      <c r="G205" s="862">
        <v>2</v>
      </c>
      <c r="H205" s="862" t="s">
        <v>427</v>
      </c>
      <c r="I205" s="862" t="s">
        <v>447</v>
      </c>
      <c r="J205" s="862" t="s">
        <v>77</v>
      </c>
      <c r="K205" s="865" t="s">
        <v>577</v>
      </c>
    </row>
    <row r="206" spans="1:11" ht="30" x14ac:dyDescent="0.35">
      <c r="A206" s="1867"/>
      <c r="B206" s="862">
        <v>202</v>
      </c>
      <c r="C206" s="862" t="s">
        <v>16</v>
      </c>
      <c r="D206" s="863">
        <v>81</v>
      </c>
      <c r="E206" s="864">
        <f t="shared" si="8"/>
        <v>871.8759</v>
      </c>
      <c r="F206" s="862" t="s">
        <v>343</v>
      </c>
      <c r="G206" s="867">
        <v>2</v>
      </c>
      <c r="H206" s="862" t="s">
        <v>427</v>
      </c>
      <c r="I206" s="862" t="s">
        <v>447</v>
      </c>
      <c r="J206" s="862" t="s">
        <v>77</v>
      </c>
      <c r="K206" s="865" t="s">
        <v>577</v>
      </c>
    </row>
    <row r="207" spans="1:11" ht="30" x14ac:dyDescent="0.35">
      <c r="A207" s="1867"/>
      <c r="B207" s="862">
        <v>203</v>
      </c>
      <c r="C207" s="862" t="s">
        <v>16</v>
      </c>
      <c r="D207" s="863">
        <v>81</v>
      </c>
      <c r="E207" s="864">
        <f t="shared" si="8"/>
        <v>871.8759</v>
      </c>
      <c r="F207" s="862" t="s">
        <v>343</v>
      </c>
      <c r="G207" s="867">
        <v>2</v>
      </c>
      <c r="H207" s="862" t="s">
        <v>427</v>
      </c>
      <c r="I207" s="862" t="s">
        <v>447</v>
      </c>
      <c r="J207" s="862" t="s">
        <v>77</v>
      </c>
      <c r="K207" s="865" t="s">
        <v>577</v>
      </c>
    </row>
    <row r="208" spans="1:11" ht="30" x14ac:dyDescent="0.35">
      <c r="A208" s="1867"/>
      <c r="B208" s="862">
        <v>204</v>
      </c>
      <c r="C208" s="862" t="s">
        <v>16</v>
      </c>
      <c r="D208" s="863">
        <v>81</v>
      </c>
      <c r="E208" s="864">
        <f t="shared" si="8"/>
        <v>871.8759</v>
      </c>
      <c r="F208" s="862" t="s">
        <v>343</v>
      </c>
      <c r="G208" s="862">
        <v>2</v>
      </c>
      <c r="H208" s="862" t="s">
        <v>427</v>
      </c>
      <c r="I208" s="862" t="s">
        <v>447</v>
      </c>
      <c r="J208" s="862" t="s">
        <v>77</v>
      </c>
      <c r="K208" s="865" t="s">
        <v>577</v>
      </c>
    </row>
    <row r="209" spans="1:11" x14ac:dyDescent="0.35">
      <c r="A209" s="1867"/>
      <c r="B209" s="862">
        <v>205</v>
      </c>
      <c r="C209" s="862" t="s">
        <v>17</v>
      </c>
      <c r="D209" s="863">
        <v>49.9</v>
      </c>
      <c r="E209" s="864">
        <f t="shared" si="8"/>
        <v>537.11860999999999</v>
      </c>
      <c r="F209" s="862" t="s">
        <v>347</v>
      </c>
      <c r="G209" s="862">
        <v>1</v>
      </c>
      <c r="H209" s="862" t="s">
        <v>427</v>
      </c>
      <c r="I209" s="862" t="s">
        <v>447</v>
      </c>
      <c r="J209" s="862" t="s">
        <v>77</v>
      </c>
      <c r="K209" s="862" t="s">
        <v>561</v>
      </c>
    </row>
    <row r="210" spans="1:11" x14ac:dyDescent="0.35">
      <c r="A210" s="1867"/>
      <c r="B210" s="862">
        <v>206</v>
      </c>
      <c r="C210" s="862" t="s">
        <v>17</v>
      </c>
      <c r="D210" s="863">
        <v>51.7</v>
      </c>
      <c r="E210" s="864">
        <f t="shared" si="8"/>
        <v>556.49363000000005</v>
      </c>
      <c r="F210" s="862" t="s">
        <v>347</v>
      </c>
      <c r="G210" s="862">
        <v>1</v>
      </c>
      <c r="H210" s="862" t="s">
        <v>427</v>
      </c>
      <c r="I210" s="862" t="s">
        <v>447</v>
      </c>
      <c r="J210" s="862" t="s">
        <v>77</v>
      </c>
      <c r="K210" s="865" t="s">
        <v>578</v>
      </c>
    </row>
    <row r="211" spans="1:11" x14ac:dyDescent="0.35">
      <c r="A211" s="1867"/>
      <c r="B211" s="862">
        <v>207</v>
      </c>
      <c r="C211" s="862" t="s">
        <v>17</v>
      </c>
      <c r="D211" s="863">
        <v>50.2</v>
      </c>
      <c r="E211" s="864">
        <f t="shared" si="8"/>
        <v>540.34778000000006</v>
      </c>
      <c r="F211" s="862" t="s">
        <v>347</v>
      </c>
      <c r="G211" s="862">
        <v>1</v>
      </c>
      <c r="H211" s="862" t="s">
        <v>427</v>
      </c>
      <c r="I211" s="862" t="s">
        <v>447</v>
      </c>
      <c r="J211" s="862" t="s">
        <v>77</v>
      </c>
      <c r="K211" s="862" t="s">
        <v>574</v>
      </c>
    </row>
    <row r="212" spans="1:11" x14ac:dyDescent="0.35">
      <c r="A212" s="1867"/>
      <c r="B212" s="862">
        <v>208</v>
      </c>
      <c r="C212" s="862" t="s">
        <v>17</v>
      </c>
      <c r="D212" s="863">
        <v>53.6</v>
      </c>
      <c r="E212" s="864">
        <f t="shared" si="8"/>
        <v>576.94503999999995</v>
      </c>
      <c r="F212" s="862" t="s">
        <v>347</v>
      </c>
      <c r="G212" s="862">
        <v>1</v>
      </c>
      <c r="H212" s="862" t="s">
        <v>427</v>
      </c>
      <c r="I212" s="862" t="s">
        <v>447</v>
      </c>
      <c r="J212" s="862" t="s">
        <v>77</v>
      </c>
      <c r="K212" s="862" t="s">
        <v>574</v>
      </c>
    </row>
    <row r="213" spans="1:11" x14ac:dyDescent="0.35">
      <c r="A213" s="1867"/>
      <c r="B213" s="862">
        <v>209</v>
      </c>
      <c r="C213" s="862" t="s">
        <v>17</v>
      </c>
      <c r="D213" s="863">
        <v>50.1</v>
      </c>
      <c r="E213" s="864">
        <f t="shared" si="8"/>
        <v>539.27139</v>
      </c>
      <c r="F213" s="862" t="s">
        <v>347</v>
      </c>
      <c r="G213" s="862">
        <v>1</v>
      </c>
      <c r="H213" s="862" t="s">
        <v>427</v>
      </c>
      <c r="I213" s="862" t="s">
        <v>447</v>
      </c>
      <c r="J213" s="868" t="s">
        <v>77</v>
      </c>
      <c r="K213" s="862" t="s">
        <v>574</v>
      </c>
    </row>
    <row r="214" spans="1:11" x14ac:dyDescent="0.35">
      <c r="A214" s="1867"/>
      <c r="B214" s="862">
        <v>210</v>
      </c>
      <c r="C214" s="862" t="s">
        <v>17</v>
      </c>
      <c r="D214" s="863">
        <v>49.9</v>
      </c>
      <c r="E214" s="864">
        <f t="shared" si="8"/>
        <v>537.11860999999999</v>
      </c>
      <c r="F214" s="862" t="s">
        <v>347</v>
      </c>
      <c r="G214" s="862">
        <v>1</v>
      </c>
      <c r="H214" s="862" t="s">
        <v>427</v>
      </c>
      <c r="I214" s="862" t="s">
        <v>447</v>
      </c>
      <c r="J214" s="862" t="s">
        <v>77</v>
      </c>
      <c r="K214" s="862" t="s">
        <v>561</v>
      </c>
    </row>
    <row r="215" spans="1:11" x14ac:dyDescent="0.35">
      <c r="A215" s="1867"/>
      <c r="B215" s="862">
        <v>211</v>
      </c>
      <c r="C215" s="862" t="s">
        <v>17</v>
      </c>
      <c r="D215" s="863">
        <v>51.7</v>
      </c>
      <c r="E215" s="864">
        <f t="shared" si="8"/>
        <v>556.49363000000005</v>
      </c>
      <c r="F215" s="862" t="s">
        <v>347</v>
      </c>
      <c r="G215" s="862">
        <v>1</v>
      </c>
      <c r="H215" s="862" t="s">
        <v>427</v>
      </c>
      <c r="I215" s="862" t="s">
        <v>447</v>
      </c>
      <c r="J215" s="862" t="s">
        <v>77</v>
      </c>
      <c r="K215" s="865" t="s">
        <v>578</v>
      </c>
    </row>
    <row r="216" spans="1:11" x14ac:dyDescent="0.35">
      <c r="A216" s="1867"/>
      <c r="B216" s="862">
        <v>212</v>
      </c>
      <c r="C216" s="862" t="s">
        <v>17</v>
      </c>
      <c r="D216" s="863">
        <v>50.2</v>
      </c>
      <c r="E216" s="864">
        <f t="shared" si="8"/>
        <v>540.34778000000006</v>
      </c>
      <c r="F216" s="862" t="s">
        <v>347</v>
      </c>
      <c r="G216" s="862">
        <v>1</v>
      </c>
      <c r="H216" s="862" t="s">
        <v>427</v>
      </c>
      <c r="I216" s="862" t="s">
        <v>447</v>
      </c>
      <c r="J216" s="862" t="s">
        <v>77</v>
      </c>
      <c r="K216" s="862" t="s">
        <v>574</v>
      </c>
    </row>
    <row r="217" spans="1:11" x14ac:dyDescent="0.35">
      <c r="A217" s="1867"/>
      <c r="B217" s="862" t="s">
        <v>113</v>
      </c>
      <c r="C217" s="862" t="s">
        <v>17</v>
      </c>
      <c r="D217" s="863">
        <v>53.6</v>
      </c>
      <c r="E217" s="864">
        <f t="shared" si="8"/>
        <v>576.94503999999995</v>
      </c>
      <c r="F217" s="862" t="s">
        <v>347</v>
      </c>
      <c r="G217" s="862">
        <v>1</v>
      </c>
      <c r="H217" s="862" t="s">
        <v>427</v>
      </c>
      <c r="I217" s="862" t="s">
        <v>447</v>
      </c>
      <c r="J217" s="862" t="s">
        <v>77</v>
      </c>
      <c r="K217" s="862" t="s">
        <v>574</v>
      </c>
    </row>
    <row r="218" spans="1:11" x14ac:dyDescent="0.35">
      <c r="A218" s="1867"/>
      <c r="B218" s="862">
        <v>213</v>
      </c>
      <c r="C218" s="862" t="s">
        <v>17</v>
      </c>
      <c r="D218" s="863">
        <v>49.9</v>
      </c>
      <c r="E218" s="864">
        <f t="shared" si="8"/>
        <v>537.11860999999999</v>
      </c>
      <c r="F218" s="862" t="s">
        <v>347</v>
      </c>
      <c r="G218" s="862">
        <v>1</v>
      </c>
      <c r="H218" s="862" t="s">
        <v>427</v>
      </c>
      <c r="I218" s="862" t="s">
        <v>447</v>
      </c>
      <c r="J218" s="862" t="s">
        <v>77</v>
      </c>
      <c r="K218" s="862" t="s">
        <v>561</v>
      </c>
    </row>
    <row r="219" spans="1:11" x14ac:dyDescent="0.35">
      <c r="A219" s="1867"/>
      <c r="B219" s="862">
        <v>214</v>
      </c>
      <c r="C219" s="862" t="s">
        <v>17</v>
      </c>
      <c r="D219" s="863">
        <v>51.7</v>
      </c>
      <c r="E219" s="864">
        <f t="shared" si="8"/>
        <v>556.49363000000005</v>
      </c>
      <c r="F219" s="862" t="s">
        <v>347</v>
      </c>
      <c r="G219" s="862">
        <v>1</v>
      </c>
      <c r="H219" s="862" t="s">
        <v>427</v>
      </c>
      <c r="I219" s="862" t="s">
        <v>447</v>
      </c>
      <c r="J219" s="862" t="s">
        <v>77</v>
      </c>
      <c r="K219" s="865" t="s">
        <v>578</v>
      </c>
    </row>
    <row r="220" spans="1:11" x14ac:dyDescent="0.35">
      <c r="A220" s="1868"/>
      <c r="B220" s="862">
        <v>215</v>
      </c>
      <c r="C220" s="862" t="s">
        <v>17</v>
      </c>
      <c r="D220" s="863">
        <v>50.2</v>
      </c>
      <c r="E220" s="864">
        <f t="shared" si="8"/>
        <v>540.34778000000006</v>
      </c>
      <c r="F220" s="862" t="s">
        <v>347</v>
      </c>
      <c r="G220" s="862">
        <v>1</v>
      </c>
      <c r="H220" s="862" t="s">
        <v>427</v>
      </c>
      <c r="I220" s="862" t="s">
        <v>447</v>
      </c>
      <c r="J220" s="862" t="s">
        <v>77</v>
      </c>
      <c r="K220" s="862" t="s">
        <v>574</v>
      </c>
    </row>
    <row r="221" spans="1:11" ht="30" x14ac:dyDescent="0.35">
      <c r="A221" s="1847" t="s">
        <v>122</v>
      </c>
      <c r="B221" s="869">
        <v>216</v>
      </c>
      <c r="C221" s="869" t="s">
        <v>17</v>
      </c>
      <c r="D221" s="870">
        <v>48.3</v>
      </c>
      <c r="E221" s="871">
        <f t="shared" si="8"/>
        <v>519.89636999999993</v>
      </c>
      <c r="F221" s="869" t="s">
        <v>347</v>
      </c>
      <c r="G221" s="872">
        <v>1</v>
      </c>
      <c r="H221" s="869" t="s">
        <v>427</v>
      </c>
      <c r="I221" s="870" t="s">
        <v>465</v>
      </c>
      <c r="J221" s="873" t="s">
        <v>77</v>
      </c>
      <c r="K221" s="874" t="s">
        <v>579</v>
      </c>
    </row>
    <row r="222" spans="1:11" x14ac:dyDescent="0.35">
      <c r="A222" s="1848"/>
      <c r="B222" s="869">
        <v>217</v>
      </c>
      <c r="C222" s="869" t="s">
        <v>17</v>
      </c>
      <c r="D222" s="870">
        <v>56.2</v>
      </c>
      <c r="E222" s="871">
        <f t="shared" si="8"/>
        <v>604.93118000000004</v>
      </c>
      <c r="F222" s="869" t="s">
        <v>347</v>
      </c>
      <c r="G222" s="875">
        <v>1</v>
      </c>
      <c r="H222" s="869" t="s">
        <v>427</v>
      </c>
      <c r="I222" s="870" t="s">
        <v>580</v>
      </c>
      <c r="J222" s="873">
        <v>86</v>
      </c>
      <c r="K222" s="869" t="s">
        <v>581</v>
      </c>
    </row>
    <row r="223" spans="1:11" ht="30" x14ac:dyDescent="0.35">
      <c r="A223" s="1848"/>
      <c r="B223" s="869">
        <v>218</v>
      </c>
      <c r="C223" s="869" t="s">
        <v>17</v>
      </c>
      <c r="D223" s="870">
        <v>43.4</v>
      </c>
      <c r="E223" s="871">
        <f t="shared" si="8"/>
        <v>467.15325999999999</v>
      </c>
      <c r="F223" s="869" t="s">
        <v>347</v>
      </c>
      <c r="G223" s="875">
        <v>1</v>
      </c>
      <c r="H223" s="869" t="s">
        <v>427</v>
      </c>
      <c r="I223" s="870" t="s">
        <v>465</v>
      </c>
      <c r="J223" s="873" t="s">
        <v>77</v>
      </c>
      <c r="K223" s="874" t="s">
        <v>582</v>
      </c>
    </row>
    <row r="224" spans="1:11" x14ac:dyDescent="0.35">
      <c r="A224" s="1848"/>
      <c r="B224" s="869">
        <v>219</v>
      </c>
      <c r="C224" s="869" t="s">
        <v>17</v>
      </c>
      <c r="D224" s="870">
        <v>43.4</v>
      </c>
      <c r="E224" s="871">
        <f t="shared" si="8"/>
        <v>467.15325999999999</v>
      </c>
      <c r="F224" s="869" t="s">
        <v>347</v>
      </c>
      <c r="G224" s="869">
        <v>1</v>
      </c>
      <c r="H224" s="869" t="s">
        <v>427</v>
      </c>
      <c r="I224" s="870" t="s">
        <v>580</v>
      </c>
      <c r="J224" s="873">
        <v>89</v>
      </c>
      <c r="K224" s="869" t="s">
        <v>490</v>
      </c>
    </row>
    <row r="225" spans="1:11" x14ac:dyDescent="0.35">
      <c r="A225" s="1848"/>
      <c r="B225" s="869">
        <v>220</v>
      </c>
      <c r="C225" s="869" t="s">
        <v>17</v>
      </c>
      <c r="D225" s="870">
        <v>43.4</v>
      </c>
      <c r="E225" s="871">
        <f t="shared" si="8"/>
        <v>467.15325999999999</v>
      </c>
      <c r="F225" s="869" t="s">
        <v>347</v>
      </c>
      <c r="G225" s="872">
        <v>1</v>
      </c>
      <c r="H225" s="869" t="s">
        <v>427</v>
      </c>
      <c r="I225" s="870" t="s">
        <v>465</v>
      </c>
      <c r="J225" s="873" t="s">
        <v>77</v>
      </c>
      <c r="K225" s="874" t="s">
        <v>583</v>
      </c>
    </row>
    <row r="226" spans="1:11" x14ac:dyDescent="0.35">
      <c r="A226" s="1848"/>
      <c r="B226" s="869">
        <v>221</v>
      </c>
      <c r="C226" s="869" t="s">
        <v>17</v>
      </c>
      <c r="D226" s="870">
        <v>43.4</v>
      </c>
      <c r="E226" s="871">
        <f t="shared" si="8"/>
        <v>467.15325999999999</v>
      </c>
      <c r="F226" s="869" t="s">
        <v>347</v>
      </c>
      <c r="G226" s="875">
        <v>1</v>
      </c>
      <c r="H226" s="869" t="s">
        <v>427</v>
      </c>
      <c r="I226" s="870" t="s">
        <v>580</v>
      </c>
      <c r="J226" s="873">
        <v>89</v>
      </c>
      <c r="K226" s="869" t="s">
        <v>490</v>
      </c>
    </row>
    <row r="227" spans="1:11" x14ac:dyDescent="0.35">
      <c r="A227" s="1848"/>
      <c r="B227" s="869">
        <v>222</v>
      </c>
      <c r="C227" s="869" t="s">
        <v>17</v>
      </c>
      <c r="D227" s="870">
        <v>43.4</v>
      </c>
      <c r="E227" s="871">
        <f t="shared" si="8"/>
        <v>467.15325999999999</v>
      </c>
      <c r="F227" s="869" t="s">
        <v>347</v>
      </c>
      <c r="G227" s="875">
        <v>1</v>
      </c>
      <c r="H227" s="869" t="s">
        <v>427</v>
      </c>
      <c r="I227" s="870" t="s">
        <v>465</v>
      </c>
      <c r="J227" s="873" t="s">
        <v>77</v>
      </c>
      <c r="K227" s="874" t="s">
        <v>583</v>
      </c>
    </row>
    <row r="228" spans="1:11" x14ac:dyDescent="0.35">
      <c r="A228" s="1848"/>
      <c r="B228" s="869">
        <v>223</v>
      </c>
      <c r="C228" s="869" t="s">
        <v>17</v>
      </c>
      <c r="D228" s="870">
        <v>43.4</v>
      </c>
      <c r="E228" s="871">
        <f t="shared" si="8"/>
        <v>467.15325999999999</v>
      </c>
      <c r="F228" s="869" t="s">
        <v>347</v>
      </c>
      <c r="G228" s="875">
        <v>1</v>
      </c>
      <c r="H228" s="869" t="s">
        <v>427</v>
      </c>
      <c r="I228" s="870" t="s">
        <v>580</v>
      </c>
      <c r="J228" s="873">
        <v>89</v>
      </c>
      <c r="K228" s="869" t="s">
        <v>490</v>
      </c>
    </row>
    <row r="229" spans="1:11" x14ac:dyDescent="0.35">
      <c r="A229" s="1848"/>
      <c r="B229" s="869">
        <v>224</v>
      </c>
      <c r="C229" s="869" t="s">
        <v>17</v>
      </c>
      <c r="D229" s="870">
        <v>43.4</v>
      </c>
      <c r="E229" s="871">
        <f t="shared" si="8"/>
        <v>467.15325999999999</v>
      </c>
      <c r="F229" s="869" t="s">
        <v>347</v>
      </c>
      <c r="G229" s="869">
        <v>1</v>
      </c>
      <c r="H229" s="869" t="s">
        <v>427</v>
      </c>
      <c r="I229" s="870" t="s">
        <v>465</v>
      </c>
      <c r="J229" s="873" t="s">
        <v>77</v>
      </c>
      <c r="K229" s="874" t="s">
        <v>583</v>
      </c>
    </row>
    <row r="230" spans="1:11" x14ac:dyDescent="0.35">
      <c r="A230" s="1848"/>
      <c r="B230" s="869">
        <v>225</v>
      </c>
      <c r="C230" s="869" t="s">
        <v>17</v>
      </c>
      <c r="D230" s="870">
        <v>51.2</v>
      </c>
      <c r="E230" s="871">
        <f t="shared" si="8"/>
        <v>551.11167999999998</v>
      </c>
      <c r="F230" s="869" t="s">
        <v>347</v>
      </c>
      <c r="G230" s="869">
        <v>1</v>
      </c>
      <c r="H230" s="869" t="s">
        <v>427</v>
      </c>
      <c r="I230" s="870" t="s">
        <v>580</v>
      </c>
      <c r="J230" s="873">
        <v>89</v>
      </c>
      <c r="K230" s="869" t="s">
        <v>584</v>
      </c>
    </row>
    <row r="231" spans="1:11" x14ac:dyDescent="0.35">
      <c r="A231" s="1848"/>
      <c r="B231" s="869">
        <v>226</v>
      </c>
      <c r="C231" s="869" t="s">
        <v>17</v>
      </c>
      <c r="D231" s="870">
        <v>43.4</v>
      </c>
      <c r="E231" s="871">
        <f t="shared" si="8"/>
        <v>467.15325999999999</v>
      </c>
      <c r="F231" s="869" t="s">
        <v>347</v>
      </c>
      <c r="G231" s="869">
        <v>1</v>
      </c>
      <c r="H231" s="869" t="s">
        <v>427</v>
      </c>
      <c r="I231" s="870" t="s">
        <v>465</v>
      </c>
      <c r="J231" s="873" t="s">
        <v>77</v>
      </c>
      <c r="K231" s="874" t="s">
        <v>583</v>
      </c>
    </row>
    <row r="232" spans="1:11" x14ac:dyDescent="0.35">
      <c r="A232" s="1848"/>
      <c r="B232" s="869">
        <v>227</v>
      </c>
      <c r="C232" s="869" t="s">
        <v>17</v>
      </c>
      <c r="D232" s="870">
        <v>43.4</v>
      </c>
      <c r="E232" s="871">
        <f t="shared" si="8"/>
        <v>467.15325999999999</v>
      </c>
      <c r="F232" s="869" t="s">
        <v>347</v>
      </c>
      <c r="G232" s="875">
        <v>1</v>
      </c>
      <c r="H232" s="869" t="s">
        <v>427</v>
      </c>
      <c r="I232" s="870" t="s">
        <v>465</v>
      </c>
      <c r="J232" s="873" t="s">
        <v>77</v>
      </c>
      <c r="K232" s="874" t="s">
        <v>583</v>
      </c>
    </row>
    <row r="233" spans="1:11" x14ac:dyDescent="0.35">
      <c r="A233" s="1848"/>
      <c r="B233" s="869">
        <v>228</v>
      </c>
      <c r="C233" s="869" t="s">
        <v>17</v>
      </c>
      <c r="D233" s="870">
        <v>57.8</v>
      </c>
      <c r="E233" s="871">
        <f t="shared" si="8"/>
        <v>622.15341999999998</v>
      </c>
      <c r="F233" s="869" t="s">
        <v>347</v>
      </c>
      <c r="G233" s="875">
        <v>1</v>
      </c>
      <c r="H233" s="869" t="s">
        <v>427</v>
      </c>
      <c r="I233" s="870" t="s">
        <v>580</v>
      </c>
      <c r="J233" s="873">
        <v>74</v>
      </c>
      <c r="K233" s="869" t="s">
        <v>584</v>
      </c>
    </row>
    <row r="234" spans="1:11" x14ac:dyDescent="0.35">
      <c r="A234" s="1848"/>
      <c r="B234" s="869">
        <v>229</v>
      </c>
      <c r="C234" s="869" t="s">
        <v>17</v>
      </c>
      <c r="D234" s="870">
        <v>56.2</v>
      </c>
      <c r="E234" s="871">
        <f t="shared" si="8"/>
        <v>604.93118000000004</v>
      </c>
      <c r="F234" s="869" t="s">
        <v>347</v>
      </c>
      <c r="G234" s="875">
        <v>1</v>
      </c>
      <c r="H234" s="869" t="s">
        <v>427</v>
      </c>
      <c r="I234" s="870" t="s">
        <v>465</v>
      </c>
      <c r="J234" s="873" t="s">
        <v>77</v>
      </c>
      <c r="K234" s="869" t="s">
        <v>581</v>
      </c>
    </row>
    <row r="235" spans="1:11" ht="30" x14ac:dyDescent="0.35">
      <c r="A235" s="1848"/>
      <c r="B235" s="869">
        <v>230</v>
      </c>
      <c r="C235" s="869" t="s">
        <v>17</v>
      </c>
      <c r="D235" s="870">
        <v>43.4</v>
      </c>
      <c r="E235" s="871">
        <f t="shared" si="8"/>
        <v>467.15325999999999</v>
      </c>
      <c r="F235" s="869" t="s">
        <v>347</v>
      </c>
      <c r="G235" s="875">
        <v>1</v>
      </c>
      <c r="H235" s="869" t="s">
        <v>427</v>
      </c>
      <c r="I235" s="870" t="s">
        <v>465</v>
      </c>
      <c r="J235" s="873" t="s">
        <v>77</v>
      </c>
      <c r="K235" s="874" t="s">
        <v>582</v>
      </c>
    </row>
    <row r="236" spans="1:11" x14ac:dyDescent="0.35">
      <c r="A236" s="1848"/>
      <c r="B236" s="869">
        <v>231</v>
      </c>
      <c r="C236" s="869" t="s">
        <v>17</v>
      </c>
      <c r="D236" s="870">
        <v>43.4</v>
      </c>
      <c r="E236" s="871">
        <f t="shared" si="8"/>
        <v>467.15325999999999</v>
      </c>
      <c r="F236" s="869" t="s">
        <v>347</v>
      </c>
      <c r="G236" s="875">
        <v>1</v>
      </c>
      <c r="H236" s="869" t="s">
        <v>427</v>
      </c>
      <c r="I236" s="870" t="s">
        <v>580</v>
      </c>
      <c r="J236" s="873">
        <v>89</v>
      </c>
      <c r="K236" s="869" t="s">
        <v>490</v>
      </c>
    </row>
    <row r="237" spans="1:11" x14ac:dyDescent="0.35">
      <c r="A237" s="1848"/>
      <c r="B237" s="869">
        <v>232</v>
      </c>
      <c r="C237" s="869" t="s">
        <v>17</v>
      </c>
      <c r="D237" s="870">
        <v>43.4</v>
      </c>
      <c r="E237" s="871">
        <f t="shared" si="8"/>
        <v>467.15325999999999</v>
      </c>
      <c r="F237" s="869" t="s">
        <v>347</v>
      </c>
      <c r="G237" s="869">
        <v>1</v>
      </c>
      <c r="H237" s="869" t="s">
        <v>427</v>
      </c>
      <c r="I237" s="870" t="s">
        <v>465</v>
      </c>
      <c r="J237" s="873" t="s">
        <v>77</v>
      </c>
      <c r="K237" s="874" t="s">
        <v>583</v>
      </c>
    </row>
    <row r="238" spans="1:11" x14ac:dyDescent="0.35">
      <c r="A238" s="1848"/>
      <c r="B238" s="869">
        <v>233</v>
      </c>
      <c r="C238" s="869" t="s">
        <v>17</v>
      </c>
      <c r="D238" s="870">
        <v>43.4</v>
      </c>
      <c r="E238" s="871">
        <f t="shared" si="8"/>
        <v>467.15325999999999</v>
      </c>
      <c r="F238" s="869" t="s">
        <v>347</v>
      </c>
      <c r="G238" s="869">
        <v>1</v>
      </c>
      <c r="H238" s="869" t="s">
        <v>427</v>
      </c>
      <c r="I238" s="870" t="s">
        <v>580</v>
      </c>
      <c r="J238" s="873">
        <v>89</v>
      </c>
      <c r="K238" s="869" t="s">
        <v>490</v>
      </c>
    </row>
    <row r="239" spans="1:11" x14ac:dyDescent="0.35">
      <c r="A239" s="1848"/>
      <c r="B239" s="869">
        <v>234</v>
      </c>
      <c r="C239" s="869" t="s">
        <v>17</v>
      </c>
      <c r="D239" s="870">
        <v>43.4</v>
      </c>
      <c r="E239" s="871">
        <f t="shared" si="8"/>
        <v>467.15325999999999</v>
      </c>
      <c r="F239" s="869" t="s">
        <v>347</v>
      </c>
      <c r="G239" s="869">
        <v>1</v>
      </c>
      <c r="H239" s="869" t="s">
        <v>427</v>
      </c>
      <c r="I239" s="870" t="s">
        <v>465</v>
      </c>
      <c r="J239" s="873" t="s">
        <v>77</v>
      </c>
      <c r="K239" s="874" t="s">
        <v>583</v>
      </c>
    </row>
    <row r="240" spans="1:11" x14ac:dyDescent="0.35">
      <c r="A240" s="1848"/>
      <c r="B240" s="869">
        <v>235</v>
      </c>
      <c r="C240" s="869" t="s">
        <v>17</v>
      </c>
      <c r="D240" s="870">
        <v>43.4</v>
      </c>
      <c r="E240" s="871">
        <f t="shared" si="8"/>
        <v>467.15325999999999</v>
      </c>
      <c r="F240" s="869" t="s">
        <v>347</v>
      </c>
      <c r="G240" s="869">
        <v>1</v>
      </c>
      <c r="H240" s="869" t="s">
        <v>427</v>
      </c>
      <c r="I240" s="870" t="s">
        <v>585</v>
      </c>
      <c r="J240" s="873">
        <v>89</v>
      </c>
      <c r="K240" s="869" t="s">
        <v>490</v>
      </c>
    </row>
    <row r="241" spans="1:11" x14ac:dyDescent="0.35">
      <c r="A241" s="1848"/>
      <c r="B241" s="869">
        <v>236</v>
      </c>
      <c r="C241" s="869" t="s">
        <v>17</v>
      </c>
      <c r="D241" s="870">
        <v>43.4</v>
      </c>
      <c r="E241" s="871">
        <f t="shared" si="8"/>
        <v>467.15325999999999</v>
      </c>
      <c r="F241" s="869" t="s">
        <v>347</v>
      </c>
      <c r="G241" s="869">
        <v>1</v>
      </c>
      <c r="H241" s="869" t="s">
        <v>427</v>
      </c>
      <c r="I241" s="870" t="s">
        <v>465</v>
      </c>
      <c r="J241" s="873" t="s">
        <v>77</v>
      </c>
      <c r="K241" s="874" t="s">
        <v>583</v>
      </c>
    </row>
    <row r="242" spans="1:11" x14ac:dyDescent="0.35">
      <c r="A242" s="1848"/>
      <c r="B242" s="869">
        <v>237</v>
      </c>
      <c r="C242" s="869" t="s">
        <v>17</v>
      </c>
      <c r="D242" s="870">
        <v>51.2</v>
      </c>
      <c r="E242" s="871">
        <f t="shared" si="8"/>
        <v>551.11167999999998</v>
      </c>
      <c r="F242" s="869" t="s">
        <v>347</v>
      </c>
      <c r="G242" s="869">
        <v>1</v>
      </c>
      <c r="H242" s="869" t="s">
        <v>427</v>
      </c>
      <c r="I242" s="870" t="s">
        <v>580</v>
      </c>
      <c r="J242" s="873">
        <v>89</v>
      </c>
      <c r="K242" s="869" t="s">
        <v>584</v>
      </c>
    </row>
    <row r="243" spans="1:11" x14ac:dyDescent="0.35">
      <c r="A243" s="1848"/>
      <c r="B243" s="869">
        <v>238</v>
      </c>
      <c r="C243" s="869" t="s">
        <v>17</v>
      </c>
      <c r="D243" s="870">
        <v>43.4</v>
      </c>
      <c r="E243" s="871">
        <f t="shared" si="8"/>
        <v>467.15325999999999</v>
      </c>
      <c r="F243" s="869" t="s">
        <v>347</v>
      </c>
      <c r="G243" s="869">
        <v>1</v>
      </c>
      <c r="H243" s="869" t="s">
        <v>427</v>
      </c>
      <c r="I243" s="870" t="s">
        <v>465</v>
      </c>
      <c r="J243" s="873" t="s">
        <v>77</v>
      </c>
      <c r="K243" s="874" t="s">
        <v>583</v>
      </c>
    </row>
    <row r="244" spans="1:11" x14ac:dyDescent="0.35">
      <c r="A244" s="1848"/>
      <c r="B244" s="869">
        <v>239</v>
      </c>
      <c r="C244" s="869" t="s">
        <v>17</v>
      </c>
      <c r="D244" s="870">
        <v>43.4</v>
      </c>
      <c r="E244" s="871">
        <f t="shared" si="8"/>
        <v>467.15325999999999</v>
      </c>
      <c r="F244" s="869" t="s">
        <v>347</v>
      </c>
      <c r="G244" s="869">
        <v>1</v>
      </c>
      <c r="H244" s="869" t="s">
        <v>427</v>
      </c>
      <c r="I244" s="870" t="s">
        <v>465</v>
      </c>
      <c r="J244" s="873" t="s">
        <v>77</v>
      </c>
      <c r="K244" s="874" t="s">
        <v>583</v>
      </c>
    </row>
    <row r="245" spans="1:11" x14ac:dyDescent="0.35">
      <c r="A245" s="1848"/>
      <c r="B245" s="869">
        <v>240</v>
      </c>
      <c r="C245" s="869" t="s">
        <v>17</v>
      </c>
      <c r="D245" s="870">
        <v>57.8</v>
      </c>
      <c r="E245" s="871">
        <f t="shared" si="8"/>
        <v>622.15341999999998</v>
      </c>
      <c r="F245" s="869" t="s">
        <v>347</v>
      </c>
      <c r="G245" s="869">
        <v>1</v>
      </c>
      <c r="H245" s="869" t="s">
        <v>427</v>
      </c>
      <c r="I245" s="870" t="s">
        <v>580</v>
      </c>
      <c r="J245" s="873">
        <v>74</v>
      </c>
      <c r="K245" s="869" t="s">
        <v>584</v>
      </c>
    </row>
    <row r="246" spans="1:11" x14ac:dyDescent="0.35">
      <c r="A246" s="1848"/>
      <c r="B246" s="869">
        <v>241</v>
      </c>
      <c r="C246" s="869" t="s">
        <v>17</v>
      </c>
      <c r="D246" s="870">
        <v>53.3</v>
      </c>
      <c r="E246" s="871">
        <f t="shared" si="8"/>
        <v>573.71587</v>
      </c>
      <c r="F246" s="869" t="s">
        <v>347</v>
      </c>
      <c r="G246" s="869">
        <v>1</v>
      </c>
      <c r="H246" s="869" t="s">
        <v>427</v>
      </c>
      <c r="I246" s="870" t="s">
        <v>465</v>
      </c>
      <c r="J246" s="873" t="s">
        <v>77</v>
      </c>
      <c r="K246" s="869" t="s">
        <v>581</v>
      </c>
    </row>
    <row r="247" spans="1:11" ht="30" x14ac:dyDescent="0.35">
      <c r="A247" s="1848"/>
      <c r="B247" s="869">
        <v>242</v>
      </c>
      <c r="C247" s="869" t="s">
        <v>17</v>
      </c>
      <c r="D247" s="870">
        <v>43.4</v>
      </c>
      <c r="E247" s="871">
        <f t="shared" si="8"/>
        <v>467.15325999999999</v>
      </c>
      <c r="F247" s="869" t="s">
        <v>347</v>
      </c>
      <c r="G247" s="869">
        <v>1</v>
      </c>
      <c r="H247" s="869" t="s">
        <v>427</v>
      </c>
      <c r="I247" s="870" t="s">
        <v>465</v>
      </c>
      <c r="J247" s="873" t="s">
        <v>77</v>
      </c>
      <c r="K247" s="874" t="s">
        <v>582</v>
      </c>
    </row>
    <row r="248" spans="1:11" x14ac:dyDescent="0.35">
      <c r="A248" s="1848"/>
      <c r="B248" s="869">
        <v>243</v>
      </c>
      <c r="C248" s="869" t="s">
        <v>17</v>
      </c>
      <c r="D248" s="870">
        <v>43.4</v>
      </c>
      <c r="E248" s="871">
        <f t="shared" si="8"/>
        <v>467.15325999999999</v>
      </c>
      <c r="F248" s="869" t="s">
        <v>347</v>
      </c>
      <c r="G248" s="869">
        <v>1</v>
      </c>
      <c r="H248" s="869" t="s">
        <v>427</v>
      </c>
      <c r="I248" s="870" t="s">
        <v>465</v>
      </c>
      <c r="J248" s="873" t="s">
        <v>77</v>
      </c>
      <c r="K248" s="869" t="s">
        <v>490</v>
      </c>
    </row>
    <row r="249" spans="1:11" x14ac:dyDescent="0.35">
      <c r="A249" s="1848"/>
      <c r="B249" s="869">
        <v>244</v>
      </c>
      <c r="C249" s="869" t="s">
        <v>17</v>
      </c>
      <c r="D249" s="870">
        <v>43.4</v>
      </c>
      <c r="E249" s="871">
        <f t="shared" si="8"/>
        <v>467.15325999999999</v>
      </c>
      <c r="F249" s="869" t="s">
        <v>347</v>
      </c>
      <c r="G249" s="869">
        <v>1</v>
      </c>
      <c r="H249" s="869" t="s">
        <v>427</v>
      </c>
      <c r="I249" s="870" t="s">
        <v>465</v>
      </c>
      <c r="J249" s="873" t="s">
        <v>77</v>
      </c>
      <c r="K249" s="874" t="s">
        <v>583</v>
      </c>
    </row>
    <row r="250" spans="1:11" x14ac:dyDescent="0.35">
      <c r="A250" s="1848"/>
      <c r="B250" s="869">
        <v>245</v>
      </c>
      <c r="C250" s="869" t="s">
        <v>17</v>
      </c>
      <c r="D250" s="870">
        <v>43.4</v>
      </c>
      <c r="E250" s="871">
        <f t="shared" si="8"/>
        <v>467.15325999999999</v>
      </c>
      <c r="F250" s="869" t="s">
        <v>347</v>
      </c>
      <c r="G250" s="869">
        <v>1</v>
      </c>
      <c r="H250" s="869" t="s">
        <v>427</v>
      </c>
      <c r="I250" s="870" t="s">
        <v>465</v>
      </c>
      <c r="J250" s="873" t="s">
        <v>77</v>
      </c>
      <c r="K250" s="869" t="s">
        <v>490</v>
      </c>
    </row>
    <row r="251" spans="1:11" x14ac:dyDescent="0.35">
      <c r="A251" s="1848"/>
      <c r="B251" s="869">
        <v>246</v>
      </c>
      <c r="C251" s="869" t="s">
        <v>17</v>
      </c>
      <c r="D251" s="870">
        <v>43.4</v>
      </c>
      <c r="E251" s="871">
        <f t="shared" si="8"/>
        <v>467.15325999999999</v>
      </c>
      <c r="F251" s="869" t="s">
        <v>347</v>
      </c>
      <c r="G251" s="869">
        <v>1</v>
      </c>
      <c r="H251" s="869" t="s">
        <v>427</v>
      </c>
      <c r="I251" s="870" t="s">
        <v>465</v>
      </c>
      <c r="J251" s="873" t="s">
        <v>77</v>
      </c>
      <c r="K251" s="874" t="s">
        <v>583</v>
      </c>
    </row>
    <row r="252" spans="1:11" x14ac:dyDescent="0.35">
      <c r="A252" s="1848"/>
      <c r="B252" s="869">
        <v>247</v>
      </c>
      <c r="C252" s="869" t="s">
        <v>17</v>
      </c>
      <c r="D252" s="870">
        <v>43.4</v>
      </c>
      <c r="E252" s="871">
        <f t="shared" si="8"/>
        <v>467.15325999999999</v>
      </c>
      <c r="F252" s="869" t="s">
        <v>347</v>
      </c>
      <c r="G252" s="869">
        <v>1</v>
      </c>
      <c r="H252" s="869" t="s">
        <v>427</v>
      </c>
      <c r="I252" s="870" t="s">
        <v>465</v>
      </c>
      <c r="J252" s="873" t="s">
        <v>77</v>
      </c>
      <c r="K252" s="869" t="s">
        <v>490</v>
      </c>
    </row>
    <row r="253" spans="1:11" x14ac:dyDescent="0.35">
      <c r="A253" s="1848"/>
      <c r="B253" s="869">
        <v>248</v>
      </c>
      <c r="C253" s="869" t="s">
        <v>17</v>
      </c>
      <c r="D253" s="870">
        <v>43.4</v>
      </c>
      <c r="E253" s="871">
        <f t="shared" si="8"/>
        <v>467.15325999999999</v>
      </c>
      <c r="F253" s="869" t="s">
        <v>347</v>
      </c>
      <c r="G253" s="869">
        <v>1</v>
      </c>
      <c r="H253" s="869" t="s">
        <v>427</v>
      </c>
      <c r="I253" s="870" t="s">
        <v>465</v>
      </c>
      <c r="J253" s="873" t="s">
        <v>77</v>
      </c>
      <c r="K253" s="874" t="s">
        <v>583</v>
      </c>
    </row>
    <row r="254" spans="1:11" x14ac:dyDescent="0.35">
      <c r="A254" s="1848"/>
      <c r="B254" s="869">
        <v>249</v>
      </c>
      <c r="C254" s="869" t="s">
        <v>17</v>
      </c>
      <c r="D254" s="870">
        <v>51.2</v>
      </c>
      <c r="E254" s="871">
        <f t="shared" si="8"/>
        <v>551.11167999999998</v>
      </c>
      <c r="F254" s="869" t="s">
        <v>347</v>
      </c>
      <c r="G254" s="869">
        <v>1</v>
      </c>
      <c r="H254" s="869" t="s">
        <v>427</v>
      </c>
      <c r="I254" s="870" t="s">
        <v>465</v>
      </c>
      <c r="J254" s="873" t="s">
        <v>77</v>
      </c>
      <c r="K254" s="869" t="s">
        <v>584</v>
      </c>
    </row>
    <row r="255" spans="1:11" x14ac:dyDescent="0.35">
      <c r="A255" s="1848"/>
      <c r="B255" s="869">
        <v>250</v>
      </c>
      <c r="C255" s="869" t="s">
        <v>17</v>
      </c>
      <c r="D255" s="870">
        <v>43.4</v>
      </c>
      <c r="E255" s="871">
        <f t="shared" si="8"/>
        <v>467.15325999999999</v>
      </c>
      <c r="F255" s="869" t="s">
        <v>347</v>
      </c>
      <c r="G255" s="869">
        <v>1</v>
      </c>
      <c r="H255" s="869" t="s">
        <v>427</v>
      </c>
      <c r="I255" s="870" t="s">
        <v>465</v>
      </c>
      <c r="J255" s="873" t="s">
        <v>77</v>
      </c>
      <c r="K255" s="874" t="s">
        <v>583</v>
      </c>
    </row>
    <row r="256" spans="1:11" x14ac:dyDescent="0.35">
      <c r="A256" s="1848"/>
      <c r="B256" s="869">
        <v>251</v>
      </c>
      <c r="C256" s="869" t="s">
        <v>17</v>
      </c>
      <c r="D256" s="870">
        <v>43.4</v>
      </c>
      <c r="E256" s="871">
        <f t="shared" si="8"/>
        <v>467.15325999999999</v>
      </c>
      <c r="F256" s="869" t="s">
        <v>347</v>
      </c>
      <c r="G256" s="876">
        <v>1</v>
      </c>
      <c r="H256" s="869" t="s">
        <v>427</v>
      </c>
      <c r="I256" s="870" t="s">
        <v>465</v>
      </c>
      <c r="J256" s="873" t="s">
        <v>77</v>
      </c>
      <c r="K256" s="874" t="s">
        <v>583</v>
      </c>
    </row>
    <row r="257" spans="1:11" x14ac:dyDescent="0.35">
      <c r="A257" s="1848"/>
      <c r="B257" s="869">
        <v>252</v>
      </c>
      <c r="C257" s="869" t="s">
        <v>17</v>
      </c>
      <c r="D257" s="870">
        <v>57.8</v>
      </c>
      <c r="E257" s="871">
        <f>SUM(D257*10.7639)</f>
        <v>622.15341999999998</v>
      </c>
      <c r="F257" s="869" t="s">
        <v>347</v>
      </c>
      <c r="G257" s="869">
        <v>1</v>
      </c>
      <c r="H257" s="869" t="s">
        <v>427</v>
      </c>
      <c r="I257" s="870" t="s">
        <v>580</v>
      </c>
      <c r="J257" s="873">
        <v>74</v>
      </c>
      <c r="K257" s="869" t="s">
        <v>584</v>
      </c>
    </row>
    <row r="258" spans="1:11" ht="30" x14ac:dyDescent="0.35">
      <c r="A258" s="1848"/>
      <c r="B258" s="869">
        <v>253</v>
      </c>
      <c r="C258" s="869" t="s">
        <v>17</v>
      </c>
      <c r="D258" s="870">
        <v>43.4</v>
      </c>
      <c r="E258" s="871">
        <f t="shared" si="8"/>
        <v>467.15325999999999</v>
      </c>
      <c r="F258" s="869" t="s">
        <v>347</v>
      </c>
      <c r="G258" s="869">
        <v>1</v>
      </c>
      <c r="H258" s="869" t="s">
        <v>427</v>
      </c>
      <c r="I258" s="870" t="s">
        <v>465</v>
      </c>
      <c r="J258" s="873" t="s">
        <v>77</v>
      </c>
      <c r="K258" s="874" t="s">
        <v>582</v>
      </c>
    </row>
    <row r="259" spans="1:11" x14ac:dyDescent="0.35">
      <c r="A259" s="1848"/>
      <c r="B259" s="869">
        <v>254</v>
      </c>
      <c r="C259" s="869" t="s">
        <v>17</v>
      </c>
      <c r="D259" s="870">
        <v>43.4</v>
      </c>
      <c r="E259" s="871">
        <f t="shared" si="8"/>
        <v>467.15325999999999</v>
      </c>
      <c r="F259" s="869" t="s">
        <v>347</v>
      </c>
      <c r="G259" s="869">
        <v>1</v>
      </c>
      <c r="H259" s="869" t="s">
        <v>427</v>
      </c>
      <c r="I259" s="870" t="s">
        <v>580</v>
      </c>
      <c r="J259" s="873">
        <v>89</v>
      </c>
      <c r="K259" s="869" t="s">
        <v>490</v>
      </c>
    </row>
    <row r="260" spans="1:11" x14ac:dyDescent="0.35">
      <c r="A260" s="1848"/>
      <c r="B260" s="869">
        <v>255</v>
      </c>
      <c r="C260" s="869" t="s">
        <v>17</v>
      </c>
      <c r="D260" s="870">
        <v>43.4</v>
      </c>
      <c r="E260" s="871">
        <f t="shared" si="8"/>
        <v>467.15325999999999</v>
      </c>
      <c r="F260" s="869" t="s">
        <v>347</v>
      </c>
      <c r="G260" s="869">
        <v>1</v>
      </c>
      <c r="H260" s="869" t="s">
        <v>427</v>
      </c>
      <c r="I260" s="870" t="s">
        <v>465</v>
      </c>
      <c r="J260" s="873" t="s">
        <v>77</v>
      </c>
      <c r="K260" s="874" t="s">
        <v>583</v>
      </c>
    </row>
    <row r="261" spans="1:11" x14ac:dyDescent="0.35">
      <c r="A261" s="1848"/>
      <c r="B261" s="869">
        <v>256</v>
      </c>
      <c r="C261" s="869" t="s">
        <v>17</v>
      </c>
      <c r="D261" s="870">
        <v>43.4</v>
      </c>
      <c r="E261" s="871">
        <f t="shared" si="8"/>
        <v>467.15325999999999</v>
      </c>
      <c r="F261" s="869" t="s">
        <v>347</v>
      </c>
      <c r="G261" s="869">
        <v>1</v>
      </c>
      <c r="H261" s="869" t="s">
        <v>427</v>
      </c>
      <c r="I261" s="870" t="s">
        <v>580</v>
      </c>
      <c r="J261" s="873">
        <v>89</v>
      </c>
      <c r="K261" s="869" t="s">
        <v>490</v>
      </c>
    </row>
    <row r="262" spans="1:11" x14ac:dyDescent="0.35">
      <c r="A262" s="1848"/>
      <c r="B262" s="869">
        <v>257</v>
      </c>
      <c r="C262" s="869" t="s">
        <v>17</v>
      </c>
      <c r="D262" s="870">
        <v>43.4</v>
      </c>
      <c r="E262" s="871">
        <f t="shared" si="8"/>
        <v>467.15325999999999</v>
      </c>
      <c r="F262" s="869" t="s">
        <v>347</v>
      </c>
      <c r="G262" s="869">
        <v>1</v>
      </c>
      <c r="H262" s="869" t="s">
        <v>427</v>
      </c>
      <c r="I262" s="870" t="s">
        <v>465</v>
      </c>
      <c r="J262" s="873" t="s">
        <v>77</v>
      </c>
      <c r="K262" s="874" t="s">
        <v>583</v>
      </c>
    </row>
    <row r="263" spans="1:11" x14ac:dyDescent="0.35">
      <c r="A263" s="1848"/>
      <c r="B263" s="869">
        <v>258</v>
      </c>
      <c r="C263" s="869" t="s">
        <v>17</v>
      </c>
      <c r="D263" s="870">
        <v>43.4</v>
      </c>
      <c r="E263" s="871">
        <f t="shared" ref="E263:E310" si="9">SUM(D263*10.7639)</f>
        <v>467.15325999999999</v>
      </c>
      <c r="F263" s="869" t="s">
        <v>347</v>
      </c>
      <c r="G263" s="869">
        <v>1</v>
      </c>
      <c r="H263" s="869" t="s">
        <v>427</v>
      </c>
      <c r="I263" s="870" t="s">
        <v>580</v>
      </c>
      <c r="J263" s="873">
        <v>89</v>
      </c>
      <c r="K263" s="869" t="s">
        <v>490</v>
      </c>
    </row>
    <row r="264" spans="1:11" x14ac:dyDescent="0.35">
      <c r="A264" s="1848"/>
      <c r="B264" s="869">
        <v>259</v>
      </c>
      <c r="C264" s="869" t="s">
        <v>17</v>
      </c>
      <c r="D264" s="870">
        <v>43.4</v>
      </c>
      <c r="E264" s="871">
        <f t="shared" si="9"/>
        <v>467.15325999999999</v>
      </c>
      <c r="F264" s="869" t="s">
        <v>347</v>
      </c>
      <c r="G264" s="869">
        <v>1</v>
      </c>
      <c r="H264" s="869" t="s">
        <v>427</v>
      </c>
      <c r="I264" s="870" t="s">
        <v>465</v>
      </c>
      <c r="J264" s="873" t="s">
        <v>77</v>
      </c>
      <c r="K264" s="874" t="s">
        <v>583</v>
      </c>
    </row>
    <row r="265" spans="1:11" x14ac:dyDescent="0.35">
      <c r="A265" s="1848"/>
      <c r="B265" s="869">
        <v>260</v>
      </c>
      <c r="C265" s="869" t="s">
        <v>17</v>
      </c>
      <c r="D265" s="870">
        <v>51.2</v>
      </c>
      <c r="E265" s="871">
        <f t="shared" si="9"/>
        <v>551.11167999999998</v>
      </c>
      <c r="F265" s="869" t="s">
        <v>347</v>
      </c>
      <c r="G265" s="869">
        <v>1</v>
      </c>
      <c r="H265" s="869" t="s">
        <v>427</v>
      </c>
      <c r="I265" s="870" t="s">
        <v>580</v>
      </c>
      <c r="J265" s="873">
        <v>89</v>
      </c>
      <c r="K265" s="869" t="s">
        <v>584</v>
      </c>
    </row>
    <row r="266" spans="1:11" x14ac:dyDescent="0.35">
      <c r="A266" s="1848"/>
      <c r="B266" s="869">
        <v>261</v>
      </c>
      <c r="C266" s="869" t="s">
        <v>17</v>
      </c>
      <c r="D266" s="870">
        <v>43.4</v>
      </c>
      <c r="E266" s="871">
        <f t="shared" si="9"/>
        <v>467.15325999999999</v>
      </c>
      <c r="F266" s="869" t="s">
        <v>347</v>
      </c>
      <c r="G266" s="869">
        <v>1</v>
      </c>
      <c r="H266" s="869" t="s">
        <v>427</v>
      </c>
      <c r="I266" s="870" t="s">
        <v>465</v>
      </c>
      <c r="J266" s="873" t="s">
        <v>77</v>
      </c>
      <c r="K266" s="874" t="s">
        <v>583</v>
      </c>
    </row>
    <row r="267" spans="1:11" x14ac:dyDescent="0.35">
      <c r="A267" s="1848"/>
      <c r="B267" s="869">
        <v>262</v>
      </c>
      <c r="C267" s="869" t="s">
        <v>17</v>
      </c>
      <c r="D267" s="870">
        <v>43.4</v>
      </c>
      <c r="E267" s="871">
        <f t="shared" si="9"/>
        <v>467.15325999999999</v>
      </c>
      <c r="F267" s="869" t="s">
        <v>347</v>
      </c>
      <c r="G267" s="869">
        <v>1</v>
      </c>
      <c r="H267" s="869" t="s">
        <v>427</v>
      </c>
      <c r="I267" s="870" t="s">
        <v>465</v>
      </c>
      <c r="J267" s="873" t="s">
        <v>77</v>
      </c>
      <c r="K267" s="874" t="s">
        <v>583</v>
      </c>
    </row>
    <row r="268" spans="1:11" ht="30" x14ac:dyDescent="0.35">
      <c r="A268" s="1848"/>
      <c r="B268" s="869">
        <v>263</v>
      </c>
      <c r="C268" s="869" t="s">
        <v>17</v>
      </c>
      <c r="D268" s="870">
        <v>43.4</v>
      </c>
      <c r="E268" s="871">
        <f t="shared" si="9"/>
        <v>467.15325999999999</v>
      </c>
      <c r="F268" s="869" t="s">
        <v>347</v>
      </c>
      <c r="G268" s="869">
        <v>1</v>
      </c>
      <c r="H268" s="869" t="s">
        <v>427</v>
      </c>
      <c r="I268" s="870" t="s">
        <v>465</v>
      </c>
      <c r="J268" s="873" t="s">
        <v>77</v>
      </c>
      <c r="K268" s="874" t="s">
        <v>582</v>
      </c>
    </row>
    <row r="269" spans="1:11" x14ac:dyDescent="0.35">
      <c r="A269" s="1848"/>
      <c r="B269" s="869">
        <v>264</v>
      </c>
      <c r="C269" s="869" t="s">
        <v>17</v>
      </c>
      <c r="D269" s="870">
        <v>43.4</v>
      </c>
      <c r="E269" s="871">
        <f t="shared" si="9"/>
        <v>467.15325999999999</v>
      </c>
      <c r="F269" s="869" t="s">
        <v>347</v>
      </c>
      <c r="G269" s="869">
        <v>1</v>
      </c>
      <c r="H269" s="869" t="s">
        <v>427</v>
      </c>
      <c r="I269" s="870" t="s">
        <v>465</v>
      </c>
      <c r="J269" s="873" t="s">
        <v>77</v>
      </c>
      <c r="K269" s="869" t="s">
        <v>490</v>
      </c>
    </row>
    <row r="270" spans="1:11" x14ac:dyDescent="0.35">
      <c r="A270" s="1848"/>
      <c r="B270" s="869">
        <v>265</v>
      </c>
      <c r="C270" s="869" t="s">
        <v>17</v>
      </c>
      <c r="D270" s="870">
        <v>43.4</v>
      </c>
      <c r="E270" s="871">
        <f t="shared" si="9"/>
        <v>467.15325999999999</v>
      </c>
      <c r="F270" s="869" t="s">
        <v>347</v>
      </c>
      <c r="G270" s="869">
        <v>1</v>
      </c>
      <c r="H270" s="869" t="s">
        <v>427</v>
      </c>
      <c r="I270" s="870" t="s">
        <v>465</v>
      </c>
      <c r="J270" s="873" t="s">
        <v>77</v>
      </c>
      <c r="K270" s="874" t="s">
        <v>583</v>
      </c>
    </row>
    <row r="271" spans="1:11" x14ac:dyDescent="0.35">
      <c r="A271" s="1848"/>
      <c r="B271" s="869">
        <v>266</v>
      </c>
      <c r="C271" s="869" t="s">
        <v>17</v>
      </c>
      <c r="D271" s="870">
        <v>43.4</v>
      </c>
      <c r="E271" s="871">
        <f t="shared" si="9"/>
        <v>467.15325999999999</v>
      </c>
      <c r="F271" s="869" t="s">
        <v>347</v>
      </c>
      <c r="G271" s="869">
        <v>1</v>
      </c>
      <c r="H271" s="869" t="s">
        <v>427</v>
      </c>
      <c r="I271" s="870" t="s">
        <v>465</v>
      </c>
      <c r="J271" s="873" t="s">
        <v>77</v>
      </c>
      <c r="K271" s="869" t="s">
        <v>490</v>
      </c>
    </row>
    <row r="272" spans="1:11" x14ac:dyDescent="0.35">
      <c r="A272" s="1848"/>
      <c r="B272" s="869">
        <v>267</v>
      </c>
      <c r="C272" s="869" t="s">
        <v>17</v>
      </c>
      <c r="D272" s="870">
        <v>43.4</v>
      </c>
      <c r="E272" s="871">
        <f t="shared" si="9"/>
        <v>467.15325999999999</v>
      </c>
      <c r="F272" s="869" t="s">
        <v>347</v>
      </c>
      <c r="G272" s="869">
        <v>1</v>
      </c>
      <c r="H272" s="869" t="s">
        <v>427</v>
      </c>
      <c r="I272" s="870" t="s">
        <v>465</v>
      </c>
      <c r="J272" s="873" t="s">
        <v>77</v>
      </c>
      <c r="K272" s="874" t="s">
        <v>583</v>
      </c>
    </row>
    <row r="273" spans="1:11" x14ac:dyDescent="0.35">
      <c r="A273" s="1848"/>
      <c r="B273" s="869">
        <v>268</v>
      </c>
      <c r="C273" s="869" t="s">
        <v>17</v>
      </c>
      <c r="D273" s="870">
        <v>43.4</v>
      </c>
      <c r="E273" s="871">
        <f t="shared" si="9"/>
        <v>467.15325999999999</v>
      </c>
      <c r="F273" s="869" t="s">
        <v>347</v>
      </c>
      <c r="G273" s="876">
        <v>1</v>
      </c>
      <c r="H273" s="869" t="s">
        <v>427</v>
      </c>
      <c r="I273" s="870" t="s">
        <v>465</v>
      </c>
      <c r="J273" s="873" t="s">
        <v>77</v>
      </c>
      <c r="K273" s="869" t="s">
        <v>490</v>
      </c>
    </row>
    <row r="274" spans="1:11" x14ac:dyDescent="0.35">
      <c r="A274" s="1848"/>
      <c r="B274" s="869">
        <v>269</v>
      </c>
      <c r="C274" s="869" t="s">
        <v>17</v>
      </c>
      <c r="D274" s="870">
        <v>43.4</v>
      </c>
      <c r="E274" s="871">
        <f t="shared" si="9"/>
        <v>467.15325999999999</v>
      </c>
      <c r="F274" s="869" t="s">
        <v>347</v>
      </c>
      <c r="G274" s="869">
        <v>1</v>
      </c>
      <c r="H274" s="869" t="s">
        <v>427</v>
      </c>
      <c r="I274" s="870" t="s">
        <v>465</v>
      </c>
      <c r="J274" s="873" t="s">
        <v>77</v>
      </c>
      <c r="K274" s="874" t="s">
        <v>583</v>
      </c>
    </row>
    <row r="275" spans="1:11" x14ac:dyDescent="0.35">
      <c r="A275" s="1848"/>
      <c r="B275" s="869">
        <v>270</v>
      </c>
      <c r="C275" s="869" t="s">
        <v>17</v>
      </c>
      <c r="D275" s="870">
        <v>51.2</v>
      </c>
      <c r="E275" s="871">
        <f t="shared" si="9"/>
        <v>551.11167999999998</v>
      </c>
      <c r="F275" s="869" t="s">
        <v>347</v>
      </c>
      <c r="G275" s="875">
        <v>1</v>
      </c>
      <c r="H275" s="869" t="s">
        <v>427</v>
      </c>
      <c r="I275" s="870" t="s">
        <v>465</v>
      </c>
      <c r="J275" s="873" t="s">
        <v>77</v>
      </c>
      <c r="K275" s="869" t="s">
        <v>584</v>
      </c>
    </row>
    <row r="276" spans="1:11" x14ac:dyDescent="0.35">
      <c r="A276" s="1848"/>
      <c r="B276" s="869">
        <v>271</v>
      </c>
      <c r="C276" s="869" t="s">
        <v>17</v>
      </c>
      <c r="D276" s="870">
        <v>43.4</v>
      </c>
      <c r="E276" s="871">
        <f t="shared" si="9"/>
        <v>467.15325999999999</v>
      </c>
      <c r="F276" s="869" t="s">
        <v>347</v>
      </c>
      <c r="G276" s="875">
        <v>1</v>
      </c>
      <c r="H276" s="869" t="s">
        <v>427</v>
      </c>
      <c r="I276" s="870" t="s">
        <v>465</v>
      </c>
      <c r="J276" s="873" t="s">
        <v>77</v>
      </c>
      <c r="K276" s="874" t="s">
        <v>583</v>
      </c>
    </row>
    <row r="277" spans="1:11" x14ac:dyDescent="0.35">
      <c r="A277" s="1848"/>
      <c r="B277" s="869">
        <v>272</v>
      </c>
      <c r="C277" s="869" t="s">
        <v>17</v>
      </c>
      <c r="D277" s="870">
        <v>43.4</v>
      </c>
      <c r="E277" s="871">
        <f t="shared" si="9"/>
        <v>467.15325999999999</v>
      </c>
      <c r="F277" s="869" t="s">
        <v>347</v>
      </c>
      <c r="G277" s="869">
        <v>1</v>
      </c>
      <c r="H277" s="869" t="s">
        <v>427</v>
      </c>
      <c r="I277" s="870" t="s">
        <v>465</v>
      </c>
      <c r="J277" s="873" t="s">
        <v>77</v>
      </c>
      <c r="K277" s="874" t="s">
        <v>583</v>
      </c>
    </row>
    <row r="278" spans="1:11" ht="30" x14ac:dyDescent="0.35">
      <c r="A278" s="1848"/>
      <c r="B278" s="869">
        <v>273</v>
      </c>
      <c r="C278" s="869" t="s">
        <v>342</v>
      </c>
      <c r="D278" s="870">
        <v>50.8</v>
      </c>
      <c r="E278" s="871">
        <f t="shared" si="9"/>
        <v>546.80611999999996</v>
      </c>
      <c r="F278" s="869" t="s">
        <v>347</v>
      </c>
      <c r="G278" s="869">
        <v>1</v>
      </c>
      <c r="H278" s="869" t="s">
        <v>427</v>
      </c>
      <c r="I278" s="870" t="s">
        <v>482</v>
      </c>
      <c r="J278" s="873">
        <v>74</v>
      </c>
      <c r="K278" s="874" t="s">
        <v>586</v>
      </c>
    </row>
    <row r="279" spans="1:11" x14ac:dyDescent="0.35">
      <c r="A279" s="1848"/>
      <c r="B279" s="869">
        <v>274</v>
      </c>
      <c r="C279" s="869" t="s">
        <v>342</v>
      </c>
      <c r="D279" s="870">
        <v>39.200000000000003</v>
      </c>
      <c r="E279" s="871">
        <f t="shared" si="9"/>
        <v>421.94488000000001</v>
      </c>
      <c r="F279" s="869" t="s">
        <v>347</v>
      </c>
      <c r="G279" s="869">
        <v>1</v>
      </c>
      <c r="H279" s="869" t="s">
        <v>427</v>
      </c>
      <c r="I279" s="870" t="s">
        <v>482</v>
      </c>
      <c r="J279" s="873">
        <v>51</v>
      </c>
      <c r="K279" s="869" t="s">
        <v>490</v>
      </c>
    </row>
    <row r="280" spans="1:11" x14ac:dyDescent="0.35">
      <c r="A280" s="1848"/>
      <c r="B280" s="869">
        <v>275</v>
      </c>
      <c r="C280" s="869" t="s">
        <v>16</v>
      </c>
      <c r="D280" s="870">
        <v>57.8</v>
      </c>
      <c r="E280" s="871">
        <f t="shared" si="9"/>
        <v>622.15341999999998</v>
      </c>
      <c r="F280" s="869" t="s">
        <v>347</v>
      </c>
      <c r="G280" s="869">
        <v>2</v>
      </c>
      <c r="H280" s="869" t="s">
        <v>427</v>
      </c>
      <c r="I280" s="870" t="s">
        <v>580</v>
      </c>
      <c r="J280" s="873">
        <v>30</v>
      </c>
      <c r="K280" s="869" t="s">
        <v>587</v>
      </c>
    </row>
    <row r="281" spans="1:11" x14ac:dyDescent="0.35">
      <c r="A281" s="1848"/>
      <c r="B281" s="869">
        <v>276</v>
      </c>
      <c r="C281" s="869" t="s">
        <v>16</v>
      </c>
      <c r="D281" s="870">
        <v>57.8</v>
      </c>
      <c r="E281" s="871">
        <f t="shared" si="9"/>
        <v>622.15341999999998</v>
      </c>
      <c r="F281" s="869" t="s">
        <v>347</v>
      </c>
      <c r="G281" s="869">
        <v>2</v>
      </c>
      <c r="H281" s="869" t="s">
        <v>427</v>
      </c>
      <c r="I281" s="870" t="s">
        <v>580</v>
      </c>
      <c r="J281" s="873">
        <v>30</v>
      </c>
      <c r="K281" s="869" t="s">
        <v>514</v>
      </c>
    </row>
    <row r="282" spans="1:11" ht="30" x14ac:dyDescent="0.35">
      <c r="A282" s="1848"/>
      <c r="B282" s="869">
        <v>277</v>
      </c>
      <c r="C282" s="869" t="s">
        <v>17</v>
      </c>
      <c r="D282" s="870">
        <v>50.1</v>
      </c>
      <c r="E282" s="871">
        <f t="shared" si="9"/>
        <v>539.27139</v>
      </c>
      <c r="F282" s="869" t="s">
        <v>347</v>
      </c>
      <c r="G282" s="869">
        <v>1</v>
      </c>
      <c r="H282" s="869" t="s">
        <v>427</v>
      </c>
      <c r="I282" s="870" t="s">
        <v>465</v>
      </c>
      <c r="J282" s="877" t="s">
        <v>77</v>
      </c>
      <c r="K282" s="874" t="s">
        <v>588</v>
      </c>
    </row>
    <row r="283" spans="1:11" ht="30" x14ac:dyDescent="0.35">
      <c r="A283" s="1848"/>
      <c r="B283" s="869">
        <v>278</v>
      </c>
      <c r="C283" s="869" t="s">
        <v>16</v>
      </c>
      <c r="D283" s="870">
        <v>100.1</v>
      </c>
      <c r="E283" s="871">
        <f t="shared" si="9"/>
        <v>1077.4663899999998</v>
      </c>
      <c r="F283" s="869" t="s">
        <v>345</v>
      </c>
      <c r="G283" s="869">
        <v>2</v>
      </c>
      <c r="H283" s="869" t="s">
        <v>427</v>
      </c>
      <c r="I283" s="870" t="s">
        <v>465</v>
      </c>
      <c r="J283" s="873" t="s">
        <v>77</v>
      </c>
      <c r="K283" s="874" t="s">
        <v>588</v>
      </c>
    </row>
    <row r="284" spans="1:11" ht="30" x14ac:dyDescent="0.35">
      <c r="A284" s="1848"/>
      <c r="B284" s="869">
        <v>279</v>
      </c>
      <c r="C284" s="869" t="s">
        <v>16</v>
      </c>
      <c r="D284" s="870">
        <v>57.8</v>
      </c>
      <c r="E284" s="871">
        <f t="shared" si="9"/>
        <v>622.15341999999998</v>
      </c>
      <c r="F284" s="869" t="s">
        <v>343</v>
      </c>
      <c r="G284" s="869">
        <v>2</v>
      </c>
      <c r="H284" s="869" t="s">
        <v>427</v>
      </c>
      <c r="I284" s="870" t="s">
        <v>521</v>
      </c>
      <c r="J284" s="873">
        <v>219</v>
      </c>
      <c r="K284" s="874" t="s">
        <v>589</v>
      </c>
    </row>
    <row r="285" spans="1:11" x14ac:dyDescent="0.35">
      <c r="A285" s="1848"/>
      <c r="B285" s="869">
        <v>280</v>
      </c>
      <c r="C285" s="869" t="s">
        <v>16</v>
      </c>
      <c r="D285" s="870">
        <v>57.8</v>
      </c>
      <c r="E285" s="871">
        <f t="shared" si="9"/>
        <v>622.15341999999998</v>
      </c>
      <c r="F285" s="869" t="s">
        <v>343</v>
      </c>
      <c r="G285" s="869">
        <v>2</v>
      </c>
      <c r="H285" s="869" t="s">
        <v>427</v>
      </c>
      <c r="I285" s="870" t="s">
        <v>521</v>
      </c>
      <c r="J285" s="873">
        <v>219</v>
      </c>
      <c r="K285" s="874" t="s">
        <v>590</v>
      </c>
    </row>
    <row r="286" spans="1:11" x14ac:dyDescent="0.35">
      <c r="A286" s="1848"/>
      <c r="B286" s="869">
        <v>281</v>
      </c>
      <c r="C286" s="869" t="s">
        <v>16</v>
      </c>
      <c r="D286" s="870">
        <v>69.599999999999994</v>
      </c>
      <c r="E286" s="871">
        <f t="shared" si="9"/>
        <v>749.16743999999994</v>
      </c>
      <c r="F286" s="869" t="s">
        <v>343</v>
      </c>
      <c r="G286" s="869">
        <v>2</v>
      </c>
      <c r="H286" s="869" t="s">
        <v>427</v>
      </c>
      <c r="I286" s="870" t="s">
        <v>580</v>
      </c>
      <c r="J286" s="873">
        <v>89</v>
      </c>
      <c r="K286" s="869" t="s">
        <v>591</v>
      </c>
    </row>
    <row r="287" spans="1:11" x14ac:dyDescent="0.35">
      <c r="A287" s="1848"/>
      <c r="B287" s="869">
        <v>282</v>
      </c>
      <c r="C287" s="869" t="s">
        <v>16</v>
      </c>
      <c r="D287" s="870">
        <v>69.599999999999994</v>
      </c>
      <c r="E287" s="871">
        <f t="shared" si="9"/>
        <v>749.16743999999994</v>
      </c>
      <c r="F287" s="869" t="s">
        <v>343</v>
      </c>
      <c r="G287" s="869">
        <v>2</v>
      </c>
      <c r="H287" s="869" t="s">
        <v>427</v>
      </c>
      <c r="I287" s="870" t="s">
        <v>580</v>
      </c>
      <c r="J287" s="873">
        <v>89</v>
      </c>
      <c r="K287" s="869" t="s">
        <v>514</v>
      </c>
    </row>
    <row r="288" spans="1:11" x14ac:dyDescent="0.35">
      <c r="A288" s="1848"/>
      <c r="B288" s="869">
        <v>283</v>
      </c>
      <c r="C288" s="869" t="s">
        <v>16</v>
      </c>
      <c r="D288" s="870">
        <v>69.599999999999994</v>
      </c>
      <c r="E288" s="871">
        <f t="shared" si="9"/>
        <v>749.16743999999994</v>
      </c>
      <c r="F288" s="869" t="s">
        <v>343</v>
      </c>
      <c r="G288" s="869">
        <v>2</v>
      </c>
      <c r="H288" s="869" t="s">
        <v>427</v>
      </c>
      <c r="I288" s="870" t="s">
        <v>580</v>
      </c>
      <c r="J288" s="873">
        <v>89</v>
      </c>
      <c r="K288" s="869" t="s">
        <v>592</v>
      </c>
    </row>
    <row r="289" spans="1:11" x14ac:dyDescent="0.35">
      <c r="A289" s="1848"/>
      <c r="B289" s="869">
        <v>284</v>
      </c>
      <c r="C289" s="869" t="s">
        <v>16</v>
      </c>
      <c r="D289" s="870">
        <v>69.599999999999994</v>
      </c>
      <c r="E289" s="871">
        <f t="shared" si="9"/>
        <v>749.16743999999994</v>
      </c>
      <c r="F289" s="869" t="s">
        <v>343</v>
      </c>
      <c r="G289" s="869">
        <v>2</v>
      </c>
      <c r="H289" s="869" t="s">
        <v>427</v>
      </c>
      <c r="I289" s="870" t="s">
        <v>580</v>
      </c>
      <c r="J289" s="873">
        <v>89</v>
      </c>
      <c r="K289" s="869" t="s">
        <v>514</v>
      </c>
    </row>
    <row r="290" spans="1:11" x14ac:dyDescent="0.35">
      <c r="A290" s="1848"/>
      <c r="B290" s="869">
        <v>285</v>
      </c>
      <c r="C290" s="869" t="s">
        <v>16</v>
      </c>
      <c r="D290" s="870">
        <v>87.3</v>
      </c>
      <c r="E290" s="871">
        <f t="shared" si="9"/>
        <v>939.68846999999994</v>
      </c>
      <c r="F290" s="869" t="s">
        <v>343</v>
      </c>
      <c r="G290" s="869">
        <v>2</v>
      </c>
      <c r="H290" s="869" t="s">
        <v>427</v>
      </c>
      <c r="I290" s="870" t="s">
        <v>465</v>
      </c>
      <c r="J290" s="873" t="s">
        <v>77</v>
      </c>
      <c r="K290" s="874" t="s">
        <v>470</v>
      </c>
    </row>
    <row r="291" spans="1:11" x14ac:dyDescent="0.35">
      <c r="A291" s="1848"/>
      <c r="B291" s="869">
        <v>286</v>
      </c>
      <c r="C291" s="869" t="s">
        <v>16</v>
      </c>
      <c r="D291" s="870">
        <v>87.3</v>
      </c>
      <c r="E291" s="871">
        <f t="shared" si="9"/>
        <v>939.68846999999994</v>
      </c>
      <c r="F291" s="869" t="s">
        <v>343</v>
      </c>
      <c r="G291" s="869">
        <v>2</v>
      </c>
      <c r="H291" s="869" t="s">
        <v>427</v>
      </c>
      <c r="I291" s="870" t="s">
        <v>465</v>
      </c>
      <c r="J291" s="873" t="s">
        <v>77</v>
      </c>
      <c r="K291" s="869" t="s">
        <v>593</v>
      </c>
    </row>
    <row r="292" spans="1:11" x14ac:dyDescent="0.35">
      <c r="A292" s="1848"/>
      <c r="B292" s="869">
        <v>287</v>
      </c>
      <c r="C292" s="869" t="s">
        <v>16</v>
      </c>
      <c r="D292" s="870">
        <v>69.599999999999994</v>
      </c>
      <c r="E292" s="871">
        <f t="shared" si="9"/>
        <v>749.16743999999994</v>
      </c>
      <c r="F292" s="869" t="s">
        <v>343</v>
      </c>
      <c r="G292" s="869">
        <v>2</v>
      </c>
      <c r="H292" s="869" t="s">
        <v>427</v>
      </c>
      <c r="I292" s="870" t="s">
        <v>580</v>
      </c>
      <c r="J292" s="873">
        <v>89</v>
      </c>
      <c r="K292" s="869" t="s">
        <v>591</v>
      </c>
    </row>
    <row r="293" spans="1:11" x14ac:dyDescent="0.35">
      <c r="A293" s="1848"/>
      <c r="B293" s="869">
        <v>288</v>
      </c>
      <c r="C293" s="869" t="s">
        <v>16</v>
      </c>
      <c r="D293" s="870">
        <v>69.599999999999994</v>
      </c>
      <c r="E293" s="871">
        <f t="shared" si="9"/>
        <v>749.16743999999994</v>
      </c>
      <c r="F293" s="869" t="s">
        <v>343</v>
      </c>
      <c r="G293" s="869">
        <v>2</v>
      </c>
      <c r="H293" s="869" t="s">
        <v>427</v>
      </c>
      <c r="I293" s="870" t="s">
        <v>580</v>
      </c>
      <c r="J293" s="873">
        <v>89</v>
      </c>
      <c r="K293" s="869" t="s">
        <v>514</v>
      </c>
    </row>
    <row r="294" spans="1:11" x14ac:dyDescent="0.35">
      <c r="A294" s="1848"/>
      <c r="B294" s="869">
        <v>289</v>
      </c>
      <c r="C294" s="869" t="s">
        <v>17</v>
      </c>
      <c r="D294" s="870">
        <v>59.4</v>
      </c>
      <c r="E294" s="871">
        <f t="shared" si="9"/>
        <v>639.37565999999993</v>
      </c>
      <c r="F294" s="869" t="s">
        <v>347</v>
      </c>
      <c r="G294" s="869">
        <v>1</v>
      </c>
      <c r="H294" s="869" t="s">
        <v>427</v>
      </c>
      <c r="I294" s="870" t="s">
        <v>465</v>
      </c>
      <c r="J294" s="873" t="s">
        <v>77</v>
      </c>
      <c r="K294" s="869" t="s">
        <v>581</v>
      </c>
    </row>
    <row r="295" spans="1:11" x14ac:dyDescent="0.35">
      <c r="A295" s="1848"/>
      <c r="B295" s="869">
        <v>290</v>
      </c>
      <c r="C295" s="869" t="s">
        <v>16</v>
      </c>
      <c r="D295" s="870">
        <v>66.5</v>
      </c>
      <c r="E295" s="871">
        <f t="shared" si="9"/>
        <v>715.79935</v>
      </c>
      <c r="F295" s="869" t="s">
        <v>343</v>
      </c>
      <c r="G295" s="869">
        <v>2</v>
      </c>
      <c r="H295" s="869" t="s">
        <v>427</v>
      </c>
      <c r="I295" s="870" t="s">
        <v>580</v>
      </c>
      <c r="J295" s="873">
        <v>108</v>
      </c>
      <c r="K295" s="869" t="s">
        <v>514</v>
      </c>
    </row>
    <row r="296" spans="1:11" x14ac:dyDescent="0.35">
      <c r="A296" s="1848"/>
      <c r="B296" s="869">
        <v>291</v>
      </c>
      <c r="C296" s="869" t="s">
        <v>16</v>
      </c>
      <c r="D296" s="870">
        <v>69.599999999999994</v>
      </c>
      <c r="E296" s="871">
        <f t="shared" si="9"/>
        <v>749.16743999999994</v>
      </c>
      <c r="F296" s="869" t="s">
        <v>343</v>
      </c>
      <c r="G296" s="869">
        <v>2</v>
      </c>
      <c r="H296" s="869" t="s">
        <v>427</v>
      </c>
      <c r="I296" s="870" t="s">
        <v>580</v>
      </c>
      <c r="J296" s="873">
        <v>108</v>
      </c>
      <c r="K296" s="869" t="s">
        <v>591</v>
      </c>
    </row>
    <row r="297" spans="1:11" x14ac:dyDescent="0.35">
      <c r="A297" s="1848"/>
      <c r="B297" s="869">
        <v>292</v>
      </c>
      <c r="C297" s="869" t="s">
        <v>17</v>
      </c>
      <c r="D297" s="870">
        <v>59.4</v>
      </c>
      <c r="E297" s="871">
        <f t="shared" si="9"/>
        <v>639.37565999999993</v>
      </c>
      <c r="F297" s="869" t="s">
        <v>347</v>
      </c>
      <c r="G297" s="869">
        <v>1</v>
      </c>
      <c r="H297" s="869" t="s">
        <v>427</v>
      </c>
      <c r="I297" s="870" t="s">
        <v>465</v>
      </c>
      <c r="J297" s="873" t="s">
        <v>77</v>
      </c>
      <c r="K297" s="869" t="s">
        <v>581</v>
      </c>
    </row>
    <row r="298" spans="1:11" x14ac:dyDescent="0.35">
      <c r="A298" s="1848"/>
      <c r="B298" s="869">
        <v>293</v>
      </c>
      <c r="C298" s="869" t="s">
        <v>17</v>
      </c>
      <c r="D298" s="870">
        <v>59.4</v>
      </c>
      <c r="E298" s="871">
        <f t="shared" si="9"/>
        <v>639.37565999999993</v>
      </c>
      <c r="F298" s="869" t="s">
        <v>347</v>
      </c>
      <c r="G298" s="869">
        <v>1</v>
      </c>
      <c r="H298" s="869" t="s">
        <v>427</v>
      </c>
      <c r="I298" s="870" t="s">
        <v>465</v>
      </c>
      <c r="J298" s="873" t="s">
        <v>77</v>
      </c>
      <c r="K298" s="869" t="s">
        <v>581</v>
      </c>
    </row>
    <row r="299" spans="1:11" x14ac:dyDescent="0.35">
      <c r="A299" s="1848"/>
      <c r="B299" s="869">
        <v>294</v>
      </c>
      <c r="C299" s="869" t="s">
        <v>16</v>
      </c>
      <c r="D299" s="870">
        <v>66.5</v>
      </c>
      <c r="E299" s="871">
        <f t="shared" si="9"/>
        <v>715.79935</v>
      </c>
      <c r="F299" s="869" t="s">
        <v>343</v>
      </c>
      <c r="G299" s="869">
        <v>2</v>
      </c>
      <c r="H299" s="869" t="s">
        <v>427</v>
      </c>
      <c r="I299" s="870" t="s">
        <v>580</v>
      </c>
      <c r="J299" s="873">
        <v>89</v>
      </c>
      <c r="K299" s="869" t="s">
        <v>514</v>
      </c>
    </row>
    <row r="300" spans="1:11" x14ac:dyDescent="0.35">
      <c r="A300" s="1848"/>
      <c r="B300" s="869">
        <v>295</v>
      </c>
      <c r="C300" s="869" t="s">
        <v>16</v>
      </c>
      <c r="D300" s="870">
        <v>69.599999999999994</v>
      </c>
      <c r="E300" s="871">
        <f t="shared" si="9"/>
        <v>749.16743999999994</v>
      </c>
      <c r="F300" s="869" t="s">
        <v>343</v>
      </c>
      <c r="G300" s="876">
        <v>2</v>
      </c>
      <c r="H300" s="869" t="s">
        <v>427</v>
      </c>
      <c r="I300" s="870" t="s">
        <v>594</v>
      </c>
      <c r="J300" s="873">
        <v>89</v>
      </c>
      <c r="K300" s="869" t="s">
        <v>591</v>
      </c>
    </row>
    <row r="301" spans="1:11" x14ac:dyDescent="0.35">
      <c r="A301" s="1848"/>
      <c r="B301" s="869">
        <v>296</v>
      </c>
      <c r="C301" s="869" t="s">
        <v>17</v>
      </c>
      <c r="D301" s="870">
        <v>59.4</v>
      </c>
      <c r="E301" s="871">
        <f t="shared" si="9"/>
        <v>639.37565999999993</v>
      </c>
      <c r="F301" s="869" t="s">
        <v>347</v>
      </c>
      <c r="G301" s="869">
        <v>1</v>
      </c>
      <c r="H301" s="869" t="s">
        <v>427</v>
      </c>
      <c r="I301" s="870" t="s">
        <v>465</v>
      </c>
      <c r="J301" s="873" t="s">
        <v>77</v>
      </c>
      <c r="K301" s="869" t="s">
        <v>595</v>
      </c>
    </row>
    <row r="302" spans="1:11" x14ac:dyDescent="0.35">
      <c r="A302" s="1849"/>
      <c r="B302" s="869">
        <v>297</v>
      </c>
      <c r="C302" s="869" t="s">
        <v>342</v>
      </c>
      <c r="D302" s="870">
        <v>59.4</v>
      </c>
      <c r="E302" s="871">
        <f t="shared" si="9"/>
        <v>639.37565999999993</v>
      </c>
      <c r="F302" s="869" t="s">
        <v>347</v>
      </c>
      <c r="G302" s="875">
        <v>1</v>
      </c>
      <c r="H302" s="869" t="s">
        <v>427</v>
      </c>
      <c r="I302" s="870" t="s">
        <v>465</v>
      </c>
      <c r="J302" s="873" t="s">
        <v>77</v>
      </c>
      <c r="K302" s="869" t="s">
        <v>561</v>
      </c>
    </row>
    <row r="303" spans="1:11" x14ac:dyDescent="0.35">
      <c r="A303" s="1850" t="s">
        <v>340</v>
      </c>
      <c r="B303" s="878">
        <v>298</v>
      </c>
      <c r="C303" s="878" t="s">
        <v>342</v>
      </c>
      <c r="D303" s="879">
        <v>40.1</v>
      </c>
      <c r="E303" s="880">
        <f t="shared" si="9"/>
        <v>431.63238999999999</v>
      </c>
      <c r="F303" s="878" t="s">
        <v>347</v>
      </c>
      <c r="G303" s="878">
        <v>1</v>
      </c>
      <c r="H303" s="878" t="s">
        <v>427</v>
      </c>
      <c r="I303" s="879" t="s">
        <v>515</v>
      </c>
      <c r="J303" s="881">
        <v>119</v>
      </c>
      <c r="K303" s="878" t="s">
        <v>514</v>
      </c>
    </row>
    <row r="304" spans="1:11" x14ac:dyDescent="0.35">
      <c r="A304" s="1851"/>
      <c r="B304" s="878">
        <v>299</v>
      </c>
      <c r="C304" s="878" t="s">
        <v>15</v>
      </c>
      <c r="D304" s="882">
        <v>103.4</v>
      </c>
      <c r="E304" s="883">
        <f t="shared" si="9"/>
        <v>1112.9872600000001</v>
      </c>
      <c r="F304" s="878" t="s">
        <v>348</v>
      </c>
      <c r="G304" s="884">
        <v>3</v>
      </c>
      <c r="H304" s="878" t="s">
        <v>476</v>
      </c>
      <c r="I304" s="879" t="s">
        <v>596</v>
      </c>
      <c r="J304" s="885">
        <v>468</v>
      </c>
      <c r="K304" s="878" t="s">
        <v>597</v>
      </c>
    </row>
    <row r="305" spans="1:11" x14ac:dyDescent="0.35">
      <c r="A305" s="1851"/>
      <c r="B305" s="878">
        <v>300</v>
      </c>
      <c r="C305" s="878" t="s">
        <v>15</v>
      </c>
      <c r="D305" s="882">
        <v>103.4</v>
      </c>
      <c r="E305" s="883">
        <f t="shared" si="9"/>
        <v>1112.9872600000001</v>
      </c>
      <c r="F305" s="878" t="s">
        <v>348</v>
      </c>
      <c r="G305" s="884">
        <v>3</v>
      </c>
      <c r="H305" s="878" t="s">
        <v>476</v>
      </c>
      <c r="I305" s="879" t="s">
        <v>596</v>
      </c>
      <c r="J305" s="881">
        <v>468</v>
      </c>
      <c r="K305" s="878" t="s">
        <v>597</v>
      </c>
    </row>
    <row r="306" spans="1:11" x14ac:dyDescent="0.35">
      <c r="A306" s="1851"/>
      <c r="B306" s="878">
        <v>301</v>
      </c>
      <c r="C306" s="878" t="s">
        <v>15</v>
      </c>
      <c r="D306" s="882">
        <v>103.4</v>
      </c>
      <c r="E306" s="883">
        <f t="shared" si="9"/>
        <v>1112.9872600000001</v>
      </c>
      <c r="F306" s="878" t="s">
        <v>348</v>
      </c>
      <c r="G306" s="884">
        <v>3</v>
      </c>
      <c r="H306" s="878" t="s">
        <v>476</v>
      </c>
      <c r="I306" s="879" t="s">
        <v>596</v>
      </c>
      <c r="J306" s="881">
        <v>468</v>
      </c>
      <c r="K306" s="878" t="s">
        <v>597</v>
      </c>
    </row>
    <row r="307" spans="1:11" ht="30" x14ac:dyDescent="0.35">
      <c r="A307" s="1851"/>
      <c r="B307" s="878">
        <v>302</v>
      </c>
      <c r="C307" s="878" t="s">
        <v>17</v>
      </c>
      <c r="D307" s="879">
        <v>84.7</v>
      </c>
      <c r="E307" s="880">
        <f t="shared" si="9"/>
        <v>911.70232999999996</v>
      </c>
      <c r="F307" s="878" t="s">
        <v>348</v>
      </c>
      <c r="G307" s="878">
        <v>1</v>
      </c>
      <c r="H307" s="878" t="s">
        <v>427</v>
      </c>
      <c r="I307" s="879" t="s">
        <v>580</v>
      </c>
      <c r="J307" s="881">
        <v>138</v>
      </c>
      <c r="K307" s="886" t="s">
        <v>598</v>
      </c>
    </row>
    <row r="308" spans="1:11" ht="30" x14ac:dyDescent="0.35">
      <c r="A308" s="1851"/>
      <c r="B308" s="878">
        <v>303</v>
      </c>
      <c r="C308" s="878" t="s">
        <v>17</v>
      </c>
      <c r="D308" s="879">
        <v>84.7</v>
      </c>
      <c r="E308" s="880">
        <f t="shared" si="9"/>
        <v>911.70232999999996</v>
      </c>
      <c r="F308" s="878" t="s">
        <v>348</v>
      </c>
      <c r="G308" s="878">
        <v>1</v>
      </c>
      <c r="H308" s="878" t="s">
        <v>427</v>
      </c>
      <c r="I308" s="879" t="s">
        <v>599</v>
      </c>
      <c r="J308" s="881" t="s">
        <v>77</v>
      </c>
      <c r="K308" s="886" t="s">
        <v>598</v>
      </c>
    </row>
    <row r="309" spans="1:11" x14ac:dyDescent="0.35">
      <c r="A309" s="1851"/>
      <c r="B309" s="878">
        <v>304</v>
      </c>
      <c r="C309" s="878" t="s">
        <v>17</v>
      </c>
      <c r="D309" s="879">
        <v>54.1</v>
      </c>
      <c r="E309" s="880">
        <f t="shared" si="9"/>
        <v>582.32699000000002</v>
      </c>
      <c r="F309" s="878" t="s">
        <v>347</v>
      </c>
      <c r="G309" s="878">
        <v>1</v>
      </c>
      <c r="H309" s="878" t="s">
        <v>427</v>
      </c>
      <c r="I309" s="879" t="s">
        <v>580</v>
      </c>
      <c r="J309" s="881">
        <v>86</v>
      </c>
      <c r="K309" s="878" t="s">
        <v>561</v>
      </c>
    </row>
    <row r="310" spans="1:11" x14ac:dyDescent="0.35">
      <c r="A310" s="1851"/>
      <c r="B310" s="878">
        <v>305</v>
      </c>
      <c r="C310" s="878" t="s">
        <v>17</v>
      </c>
      <c r="D310" s="879">
        <v>54.1</v>
      </c>
      <c r="E310" s="880">
        <f t="shared" si="9"/>
        <v>582.32699000000002</v>
      </c>
      <c r="F310" s="878" t="s">
        <v>347</v>
      </c>
      <c r="G310" s="878">
        <v>1</v>
      </c>
      <c r="H310" s="878" t="s">
        <v>427</v>
      </c>
      <c r="I310" s="879" t="s">
        <v>521</v>
      </c>
      <c r="J310" s="881">
        <v>143</v>
      </c>
      <c r="K310" s="886" t="s">
        <v>571</v>
      </c>
    </row>
    <row r="311" spans="1:11" x14ac:dyDescent="0.35">
      <c r="A311" s="1851"/>
      <c r="B311" s="878">
        <v>306</v>
      </c>
      <c r="C311" s="878" t="s">
        <v>17</v>
      </c>
      <c r="D311" s="879">
        <v>65.5</v>
      </c>
      <c r="E311" s="880">
        <f>SUM(D311*10.7639)</f>
        <v>705.03544999999997</v>
      </c>
      <c r="F311" s="878" t="s">
        <v>347</v>
      </c>
      <c r="G311" s="878">
        <v>1</v>
      </c>
      <c r="H311" s="878" t="s">
        <v>427</v>
      </c>
      <c r="I311" s="879" t="s">
        <v>600</v>
      </c>
      <c r="J311" s="881" t="s">
        <v>77</v>
      </c>
      <c r="K311" s="886" t="s">
        <v>558</v>
      </c>
    </row>
    <row r="312" spans="1:11" x14ac:dyDescent="0.35">
      <c r="A312" s="1851"/>
      <c r="B312" s="878">
        <v>307</v>
      </c>
      <c r="C312" s="878" t="s">
        <v>51</v>
      </c>
      <c r="D312" s="879">
        <v>89.5</v>
      </c>
      <c r="E312" s="880">
        <f t="shared" ref="E312:E321" si="10">SUM(D312*10.7639)</f>
        <v>963.36905000000002</v>
      </c>
      <c r="F312" s="878" t="s">
        <v>352</v>
      </c>
      <c r="G312" s="887">
        <v>2</v>
      </c>
      <c r="H312" s="878" t="s">
        <v>427</v>
      </c>
      <c r="I312" s="879" t="s">
        <v>601</v>
      </c>
      <c r="J312" s="881">
        <v>196</v>
      </c>
      <c r="K312" s="878" t="s">
        <v>576</v>
      </c>
    </row>
    <row r="313" spans="1:11" x14ac:dyDescent="0.35">
      <c r="A313" s="1851"/>
      <c r="B313" s="878">
        <v>308</v>
      </c>
      <c r="C313" s="878" t="s">
        <v>15</v>
      </c>
      <c r="D313" s="882">
        <v>103.4</v>
      </c>
      <c r="E313" s="883">
        <f t="shared" si="10"/>
        <v>1112.9872600000001</v>
      </c>
      <c r="F313" s="878" t="s">
        <v>348</v>
      </c>
      <c r="G313" s="884">
        <v>3</v>
      </c>
      <c r="H313" s="878" t="s">
        <v>430</v>
      </c>
      <c r="I313" s="879" t="s">
        <v>602</v>
      </c>
      <c r="J313" s="881">
        <v>324</v>
      </c>
      <c r="K313" s="878" t="s">
        <v>576</v>
      </c>
    </row>
    <row r="314" spans="1:11" x14ac:dyDescent="0.35">
      <c r="A314" s="1851"/>
      <c r="B314" s="878">
        <v>309</v>
      </c>
      <c r="C314" s="878" t="s">
        <v>15</v>
      </c>
      <c r="D314" s="882">
        <v>103.4</v>
      </c>
      <c r="E314" s="883">
        <f t="shared" si="10"/>
        <v>1112.9872600000001</v>
      </c>
      <c r="F314" s="878" t="s">
        <v>348</v>
      </c>
      <c r="G314" s="884">
        <v>3</v>
      </c>
      <c r="H314" s="878" t="s">
        <v>430</v>
      </c>
      <c r="I314" s="879" t="s">
        <v>602</v>
      </c>
      <c r="J314" s="881">
        <v>324</v>
      </c>
      <c r="K314" s="878" t="s">
        <v>576</v>
      </c>
    </row>
    <row r="315" spans="1:11" x14ac:dyDescent="0.35">
      <c r="A315" s="1851"/>
      <c r="B315" s="878">
        <v>310</v>
      </c>
      <c r="C315" s="878" t="s">
        <v>15</v>
      </c>
      <c r="D315" s="882">
        <v>103.4</v>
      </c>
      <c r="E315" s="883">
        <f t="shared" si="10"/>
        <v>1112.9872600000001</v>
      </c>
      <c r="F315" s="878" t="s">
        <v>348</v>
      </c>
      <c r="G315" s="884">
        <v>3</v>
      </c>
      <c r="H315" s="878" t="s">
        <v>430</v>
      </c>
      <c r="I315" s="879" t="s">
        <v>602</v>
      </c>
      <c r="J315" s="881">
        <v>324</v>
      </c>
      <c r="K315" s="878" t="s">
        <v>576</v>
      </c>
    </row>
    <row r="316" spans="1:11" x14ac:dyDescent="0.35">
      <c r="A316" s="1851"/>
      <c r="B316" s="878">
        <v>311</v>
      </c>
      <c r="C316" s="878" t="s">
        <v>342</v>
      </c>
      <c r="D316" s="879">
        <v>40.1</v>
      </c>
      <c r="E316" s="880">
        <f t="shared" si="10"/>
        <v>431.63238999999999</v>
      </c>
      <c r="F316" s="878" t="s">
        <v>347</v>
      </c>
      <c r="G316" s="878">
        <v>1</v>
      </c>
      <c r="H316" s="878" t="s">
        <v>427</v>
      </c>
      <c r="I316" s="879" t="s">
        <v>431</v>
      </c>
      <c r="J316" s="881">
        <v>173</v>
      </c>
      <c r="K316" s="878" t="s">
        <v>576</v>
      </c>
    </row>
    <row r="317" spans="1:11" x14ac:dyDescent="0.35">
      <c r="A317" s="1851"/>
      <c r="B317" s="878">
        <v>312</v>
      </c>
      <c r="C317" s="878" t="s">
        <v>342</v>
      </c>
      <c r="D317" s="879">
        <v>42</v>
      </c>
      <c r="E317" s="880">
        <f t="shared" si="10"/>
        <v>452.0838</v>
      </c>
      <c r="F317" s="878" t="s">
        <v>347</v>
      </c>
      <c r="G317" s="878">
        <v>1</v>
      </c>
      <c r="H317" s="878" t="s">
        <v>427</v>
      </c>
      <c r="I317" s="879" t="s">
        <v>447</v>
      </c>
      <c r="J317" s="881" t="s">
        <v>77</v>
      </c>
      <c r="K317" s="878" t="s">
        <v>576</v>
      </c>
    </row>
    <row r="318" spans="1:11" x14ac:dyDescent="0.35">
      <c r="A318" s="1851"/>
      <c r="B318" s="878">
        <v>313</v>
      </c>
      <c r="C318" s="878" t="s">
        <v>342</v>
      </c>
      <c r="D318" s="879">
        <v>42</v>
      </c>
      <c r="E318" s="880">
        <f t="shared" si="10"/>
        <v>452.0838</v>
      </c>
      <c r="F318" s="878" t="s">
        <v>347</v>
      </c>
      <c r="G318" s="878">
        <v>1</v>
      </c>
      <c r="H318" s="878" t="s">
        <v>427</v>
      </c>
      <c r="I318" s="879" t="s">
        <v>447</v>
      </c>
      <c r="J318" s="881" t="s">
        <v>77</v>
      </c>
      <c r="K318" s="878" t="s">
        <v>576</v>
      </c>
    </row>
    <row r="319" spans="1:11" x14ac:dyDescent="0.35">
      <c r="A319" s="1851"/>
      <c r="B319" s="878">
        <v>314</v>
      </c>
      <c r="C319" s="878" t="s">
        <v>51</v>
      </c>
      <c r="D319" s="879">
        <v>80.099999999999994</v>
      </c>
      <c r="E319" s="880">
        <f t="shared" si="10"/>
        <v>862.18838999999991</v>
      </c>
      <c r="F319" s="878" t="s">
        <v>343</v>
      </c>
      <c r="G319" s="887">
        <v>2</v>
      </c>
      <c r="H319" s="878" t="s">
        <v>427</v>
      </c>
      <c r="I319" s="879" t="s">
        <v>603</v>
      </c>
      <c r="J319" s="881">
        <v>33</v>
      </c>
      <c r="K319" s="878" t="s">
        <v>576</v>
      </c>
    </row>
    <row r="320" spans="1:11" x14ac:dyDescent="0.35">
      <c r="A320" s="1851"/>
      <c r="B320" s="878">
        <v>315</v>
      </c>
      <c r="C320" s="878" t="s">
        <v>51</v>
      </c>
      <c r="D320" s="879">
        <v>80.099999999999994</v>
      </c>
      <c r="E320" s="880">
        <f t="shared" si="10"/>
        <v>862.18838999999991</v>
      </c>
      <c r="F320" s="878" t="s">
        <v>343</v>
      </c>
      <c r="G320" s="887">
        <v>2</v>
      </c>
      <c r="H320" s="878" t="s">
        <v>427</v>
      </c>
      <c r="I320" s="879" t="s">
        <v>603</v>
      </c>
      <c r="J320" s="881">
        <v>33</v>
      </c>
      <c r="K320" s="878" t="s">
        <v>576</v>
      </c>
    </row>
    <row r="321" spans="1:11" x14ac:dyDescent="0.35">
      <c r="A321" s="1851"/>
      <c r="B321" s="878">
        <v>316</v>
      </c>
      <c r="C321" s="878" t="s">
        <v>342</v>
      </c>
      <c r="D321" s="879">
        <v>40.1</v>
      </c>
      <c r="E321" s="880">
        <f t="shared" si="10"/>
        <v>431.63238999999999</v>
      </c>
      <c r="F321" s="878" t="s">
        <v>347</v>
      </c>
      <c r="G321" s="878">
        <v>1</v>
      </c>
      <c r="H321" s="878" t="s">
        <v>427</v>
      </c>
      <c r="I321" s="879" t="s">
        <v>431</v>
      </c>
      <c r="J321" s="881">
        <v>158</v>
      </c>
      <c r="K321" s="878" t="s">
        <v>576</v>
      </c>
    </row>
  </sheetData>
  <mergeCells count="24">
    <mergeCell ref="A221:A302"/>
    <mergeCell ref="A303:A321"/>
    <mergeCell ref="A30:A46"/>
    <mergeCell ref="A47:A90"/>
    <mergeCell ref="A91:A119"/>
    <mergeCell ref="A120:A146"/>
    <mergeCell ref="A147:A167"/>
    <mergeCell ref="A168:A220"/>
    <mergeCell ref="A23:A29"/>
    <mergeCell ref="A1:K1"/>
    <mergeCell ref="A2:K2"/>
    <mergeCell ref="A3:A4"/>
    <mergeCell ref="B3:B4"/>
    <mergeCell ref="C3:C4"/>
    <mergeCell ref="D3:E3"/>
    <mergeCell ref="F3:F4"/>
    <mergeCell ref="G3:G4"/>
    <mergeCell ref="H3:H4"/>
    <mergeCell ref="I3:I4"/>
    <mergeCell ref="J3:J4"/>
    <mergeCell ref="K3:K4"/>
    <mergeCell ref="A5:A9"/>
    <mergeCell ref="A10:A18"/>
    <mergeCell ref="A19:A22"/>
  </mergeCells>
  <pageMargins left="0.7" right="0.7" top="0.75" bottom="0.75" header="0.3" footer="0.3"/>
  <pageSetup paperSize="8" scale="47" fitToHeight="0"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B83F2-A2ED-4A4F-8440-DD23B84513A8}">
  <sheetPr>
    <pageSetUpPr fitToPage="1"/>
  </sheetPr>
  <dimension ref="A1:W419"/>
  <sheetViews>
    <sheetView zoomScale="70" zoomScaleNormal="70" workbookViewId="0">
      <pane ySplit="2115" activePane="bottomLeft"/>
      <selection activeCell="Q7" sqref="Q6:Q7"/>
      <selection pane="bottomLeft" activeCell="J27" sqref="J27"/>
    </sheetView>
  </sheetViews>
  <sheetFormatPr defaultColWidth="9.140625" defaultRowHeight="17.25" x14ac:dyDescent="0.35"/>
  <cols>
    <col min="1" max="1" width="16.7109375" style="284" customWidth="1"/>
    <col min="2" max="2" width="20.7109375" style="2" customWidth="1"/>
    <col min="3" max="3" width="18.42578125" style="2" customWidth="1"/>
    <col min="4" max="10" width="23.7109375" style="2" customWidth="1"/>
    <col min="11" max="11" width="23.5703125" style="2" bestFit="1" customWidth="1"/>
    <col min="12" max="16" width="23.7109375" style="2" customWidth="1"/>
    <col min="17" max="17" width="12.28515625" style="2" customWidth="1"/>
    <col min="18" max="18" width="10.5703125" style="2" bestFit="1" customWidth="1"/>
    <col min="19" max="20" width="9.140625" style="2"/>
    <col min="21" max="21" width="15.7109375" style="2" customWidth="1"/>
    <col min="22" max="25" width="9.140625" style="2"/>
    <col min="26" max="26" width="9.140625" style="2" customWidth="1"/>
    <col min="27" max="27" width="12" style="2" customWidth="1"/>
    <col min="28" max="28" width="11.85546875" style="2" customWidth="1"/>
    <col min="29" max="16384" width="9.140625" style="2"/>
  </cols>
  <sheetData>
    <row r="1" spans="1:23" ht="16.5" customHeight="1" x14ac:dyDescent="0.3">
      <c r="A1" s="1929" t="s">
        <v>84</v>
      </c>
      <c r="B1" s="1929"/>
      <c r="C1" s="1929"/>
      <c r="D1" s="1929"/>
      <c r="E1" s="1929"/>
      <c r="F1" s="1929"/>
      <c r="G1" s="1929"/>
      <c r="H1" s="1929"/>
      <c r="I1" s="1929"/>
      <c r="J1" s="1929"/>
      <c r="K1" s="1929"/>
      <c r="L1" s="1929"/>
      <c r="M1" s="1929"/>
      <c r="N1" s="1929"/>
      <c r="O1" s="1929"/>
      <c r="P1" s="1930"/>
      <c r="R1" s="1098" t="s">
        <v>760</v>
      </c>
    </row>
    <row r="2" spans="1:23" ht="17.25" customHeight="1" thickBot="1" x14ac:dyDescent="0.35">
      <c r="A2" s="1931"/>
      <c r="B2" s="1931"/>
      <c r="C2" s="1931"/>
      <c r="D2" s="1931"/>
      <c r="E2" s="1931"/>
      <c r="F2" s="1931"/>
      <c r="G2" s="1931"/>
      <c r="H2" s="1931"/>
      <c r="I2" s="1931"/>
      <c r="J2" s="1931"/>
      <c r="K2" s="1931"/>
      <c r="L2" s="1931"/>
      <c r="M2" s="1931"/>
      <c r="N2" s="1931"/>
      <c r="O2" s="1931"/>
      <c r="P2" s="1932"/>
    </row>
    <row r="3" spans="1:23" ht="21.6" customHeight="1" thickBot="1" x14ac:dyDescent="0.35">
      <c r="A3" s="1943" t="s">
        <v>759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4"/>
      <c r="R3" s="1099"/>
      <c r="S3" s="1104" t="s">
        <v>761</v>
      </c>
    </row>
    <row r="4" spans="1:23" ht="45.75" customHeight="1" x14ac:dyDescent="0.3">
      <c r="A4" s="1933" t="s">
        <v>124</v>
      </c>
      <c r="B4" s="1935" t="s">
        <v>678</v>
      </c>
      <c r="C4" s="1937" t="s">
        <v>679</v>
      </c>
      <c r="D4" s="1939" t="s">
        <v>680</v>
      </c>
      <c r="E4" s="1940"/>
      <c r="F4" s="1941"/>
      <c r="G4" s="1939" t="s">
        <v>681</v>
      </c>
      <c r="H4" s="1940"/>
      <c r="I4" s="1940"/>
      <c r="J4" s="1940"/>
      <c r="K4" s="1941"/>
      <c r="L4" s="1939" t="s">
        <v>682</v>
      </c>
      <c r="M4" s="1940"/>
      <c r="N4" s="1940"/>
      <c r="O4" s="1940"/>
      <c r="P4" s="1942"/>
      <c r="R4" s="1100"/>
      <c r="S4" s="1104" t="s">
        <v>762</v>
      </c>
    </row>
    <row r="5" spans="1:23" ht="11.45" customHeight="1" thickBot="1" x14ac:dyDescent="0.35">
      <c r="A5" s="1934"/>
      <c r="B5" s="1936"/>
      <c r="C5" s="1938"/>
      <c r="D5" s="1027"/>
      <c r="E5" s="1028"/>
      <c r="F5" s="1029"/>
      <c r="G5" s="1027"/>
      <c r="H5" s="1028"/>
      <c r="I5" s="1028"/>
      <c r="J5" s="1028"/>
      <c r="K5" s="1028"/>
      <c r="L5" s="1030"/>
      <c r="M5" s="1027"/>
      <c r="N5" s="1027"/>
      <c r="O5" s="1027"/>
      <c r="P5" s="1031"/>
      <c r="R5" s="1101"/>
      <c r="S5" s="1104" t="s">
        <v>763</v>
      </c>
    </row>
    <row r="6" spans="1:23" thickTop="1" x14ac:dyDescent="0.3">
      <c r="A6" s="1032"/>
      <c r="B6" s="1033"/>
      <c r="C6" s="1034"/>
      <c r="D6" s="1035" t="s">
        <v>683</v>
      </c>
      <c r="E6" s="1035" t="s">
        <v>684</v>
      </c>
      <c r="F6" s="1035" t="s">
        <v>685</v>
      </c>
      <c r="G6" s="1035" t="s">
        <v>686</v>
      </c>
      <c r="H6" s="1035" t="s">
        <v>687</v>
      </c>
      <c r="I6" s="1035" t="s">
        <v>684</v>
      </c>
      <c r="J6" s="1035" t="s">
        <v>688</v>
      </c>
      <c r="K6" s="1035" t="s">
        <v>689</v>
      </c>
      <c r="L6" s="1035" t="s">
        <v>758</v>
      </c>
      <c r="M6" s="1035" t="s">
        <v>757</v>
      </c>
      <c r="N6" s="1036" t="s">
        <v>692</v>
      </c>
      <c r="O6" s="1036" t="s">
        <v>63</v>
      </c>
      <c r="P6" s="1037" t="s">
        <v>693</v>
      </c>
      <c r="R6" s="1102"/>
      <c r="S6" s="1104" t="s">
        <v>764</v>
      </c>
    </row>
    <row r="7" spans="1:23" ht="17.25" customHeight="1" x14ac:dyDescent="0.3">
      <c r="A7" s="1950" t="s">
        <v>118</v>
      </c>
      <c r="B7" s="1038">
        <v>1</v>
      </c>
      <c r="C7" s="1951"/>
      <c r="D7" s="1952" t="s">
        <v>8</v>
      </c>
      <c r="E7" s="1945"/>
      <c r="F7" s="1945"/>
      <c r="G7" s="1949"/>
      <c r="H7" s="1945"/>
      <c r="I7" s="1945"/>
      <c r="J7" s="1945"/>
      <c r="K7" s="1945" t="s">
        <v>8</v>
      </c>
      <c r="L7" s="1945" t="s">
        <v>8</v>
      </c>
      <c r="M7" s="1949"/>
      <c r="N7" s="1945"/>
      <c r="O7" s="1945"/>
      <c r="P7" s="1947"/>
      <c r="R7" s="1103"/>
      <c r="S7" s="1104" t="s">
        <v>765</v>
      </c>
      <c r="W7" s="489"/>
    </row>
    <row r="8" spans="1:23" ht="16.5" x14ac:dyDescent="0.3">
      <c r="A8" s="1907"/>
      <c r="B8" s="1039">
        <v>2</v>
      </c>
      <c r="C8" s="1891"/>
      <c r="D8" s="1953"/>
      <c r="E8" s="1946"/>
      <c r="F8" s="1946"/>
      <c r="G8" s="1365"/>
      <c r="H8" s="1946"/>
      <c r="I8" s="1946"/>
      <c r="J8" s="1946"/>
      <c r="K8" s="1946"/>
      <c r="L8" s="1946"/>
      <c r="M8" s="1365"/>
      <c r="N8" s="1946"/>
      <c r="O8" s="1946"/>
      <c r="P8" s="1948"/>
      <c r="W8" s="481"/>
    </row>
    <row r="9" spans="1:23" x14ac:dyDescent="0.35">
      <c r="A9" s="1907"/>
      <c r="B9" s="1039">
        <v>3</v>
      </c>
      <c r="C9" s="23"/>
      <c r="D9" s="1040"/>
      <c r="E9" s="612" t="s">
        <v>8</v>
      </c>
      <c r="F9" s="612"/>
      <c r="G9" s="1040"/>
      <c r="H9" s="1362" t="s">
        <v>8</v>
      </c>
      <c r="I9" s="612"/>
      <c r="J9" s="612"/>
      <c r="K9" s="612"/>
      <c r="L9" s="612" t="s">
        <v>8</v>
      </c>
      <c r="M9" s="1040"/>
      <c r="N9" s="612"/>
      <c r="O9" s="612"/>
      <c r="P9" s="1041"/>
    </row>
    <row r="10" spans="1:23" x14ac:dyDescent="0.35">
      <c r="A10" s="1907"/>
      <c r="B10" s="1039">
        <v>4</v>
      </c>
      <c r="C10" s="23" t="s">
        <v>694</v>
      </c>
      <c r="D10" s="1040"/>
      <c r="E10" s="612" t="s">
        <v>8</v>
      </c>
      <c r="F10" s="612"/>
      <c r="G10" s="1040"/>
      <c r="H10" s="1386"/>
      <c r="I10" s="612"/>
      <c r="J10" s="612"/>
      <c r="K10" s="612"/>
      <c r="L10" s="612" t="s">
        <v>8</v>
      </c>
      <c r="M10" s="1040"/>
      <c r="N10" s="612"/>
      <c r="O10" s="612"/>
      <c r="P10" s="1041"/>
    </row>
    <row r="11" spans="1:23" x14ac:dyDescent="0.35">
      <c r="A11" s="1907"/>
      <c r="B11" s="1039">
        <v>5</v>
      </c>
      <c r="C11" s="23"/>
      <c r="D11" s="1040"/>
      <c r="E11" s="612" t="s">
        <v>8</v>
      </c>
      <c r="F11" s="612"/>
      <c r="G11" s="1040"/>
      <c r="H11" s="1363"/>
      <c r="I11" s="612"/>
      <c r="J11" s="612"/>
      <c r="K11" s="612"/>
      <c r="L11" s="612" t="s">
        <v>8</v>
      </c>
      <c r="M11" s="1040"/>
      <c r="N11" s="612"/>
      <c r="O11" s="612"/>
      <c r="P11" s="1041"/>
    </row>
    <row r="12" spans="1:23" x14ac:dyDescent="0.35">
      <c r="A12" s="1916" t="s">
        <v>44</v>
      </c>
      <c r="B12" s="1039">
        <v>6</v>
      </c>
      <c r="C12" s="23"/>
      <c r="D12" s="1040"/>
      <c r="E12" s="612" t="s">
        <v>8</v>
      </c>
      <c r="F12" s="612"/>
      <c r="G12" s="1040"/>
      <c r="H12" s="612"/>
      <c r="I12" s="612"/>
      <c r="J12" s="612"/>
      <c r="K12" s="612"/>
      <c r="L12" s="612" t="s">
        <v>8</v>
      </c>
      <c r="M12" s="1040"/>
      <c r="N12" s="612"/>
      <c r="O12" s="612"/>
      <c r="P12" s="1041"/>
    </row>
    <row r="13" spans="1:23" x14ac:dyDescent="0.35">
      <c r="A13" s="1907"/>
      <c r="B13" s="1039">
        <v>7</v>
      </c>
      <c r="C13" s="23"/>
      <c r="D13" s="1040"/>
      <c r="E13" s="612" t="s">
        <v>8</v>
      </c>
      <c r="F13" s="612"/>
      <c r="G13" s="1040"/>
      <c r="H13" s="612"/>
      <c r="I13" s="612"/>
      <c r="J13" s="612"/>
      <c r="K13" s="612"/>
      <c r="L13" s="612"/>
      <c r="M13" s="1040" t="s">
        <v>8</v>
      </c>
      <c r="N13" s="612"/>
      <c r="O13" s="612"/>
      <c r="P13" s="1041"/>
    </row>
    <row r="14" spans="1:23" ht="16.5" x14ac:dyDescent="0.3">
      <c r="A14" s="1907"/>
      <c r="B14" s="1042">
        <v>8</v>
      </c>
      <c r="C14" s="1043"/>
      <c r="D14" s="1022"/>
      <c r="E14" s="1024" t="s">
        <v>8</v>
      </c>
      <c r="F14" s="1024"/>
      <c r="G14" s="1022" t="s">
        <v>8</v>
      </c>
      <c r="H14" s="1024"/>
      <c r="I14" s="1024"/>
      <c r="J14" s="1024"/>
      <c r="K14" s="1024"/>
      <c r="L14" s="1024"/>
      <c r="M14" s="1022"/>
      <c r="N14" s="1024" t="s">
        <v>8</v>
      </c>
      <c r="O14" s="1024"/>
      <c r="P14" s="1044"/>
    </row>
    <row r="15" spans="1:23" ht="17.25" customHeight="1" x14ac:dyDescent="0.3">
      <c r="A15" s="1907"/>
      <c r="B15" s="1039">
        <v>9</v>
      </c>
      <c r="C15" s="1362" t="s">
        <v>695</v>
      </c>
      <c r="D15" s="1364"/>
      <c r="E15" s="1362"/>
      <c r="F15" s="1362" t="s">
        <v>8</v>
      </c>
      <c r="G15" s="1364"/>
      <c r="H15" s="1362"/>
      <c r="I15" s="1362"/>
      <c r="J15" s="1362"/>
      <c r="K15" s="1362"/>
      <c r="L15" s="1362" t="s">
        <v>8</v>
      </c>
      <c r="M15" s="1364"/>
      <c r="N15" s="1362"/>
      <c r="O15" s="1362"/>
      <c r="P15" s="1894"/>
    </row>
    <row r="16" spans="1:23" ht="17.25" customHeight="1" x14ac:dyDescent="0.3">
      <c r="A16" s="1907"/>
      <c r="B16" s="1039">
        <v>10</v>
      </c>
      <c r="C16" s="1386"/>
      <c r="D16" s="1387"/>
      <c r="E16" s="1386"/>
      <c r="F16" s="1386"/>
      <c r="G16" s="1387"/>
      <c r="H16" s="1386"/>
      <c r="I16" s="1386"/>
      <c r="J16" s="1386"/>
      <c r="K16" s="1386"/>
      <c r="L16" s="1386"/>
      <c r="M16" s="1387"/>
      <c r="N16" s="1386"/>
      <c r="O16" s="1386"/>
      <c r="P16" s="1895"/>
    </row>
    <row r="17" spans="1:16" ht="17.25" customHeight="1" x14ac:dyDescent="0.3">
      <c r="A17" s="1907"/>
      <c r="B17" s="1039">
        <v>11</v>
      </c>
      <c r="C17" s="1363"/>
      <c r="D17" s="1365"/>
      <c r="E17" s="1363"/>
      <c r="F17" s="1363"/>
      <c r="G17" s="1365"/>
      <c r="H17" s="1363"/>
      <c r="I17" s="1363"/>
      <c r="J17" s="1363"/>
      <c r="K17" s="1363"/>
      <c r="L17" s="1363"/>
      <c r="M17" s="1365"/>
      <c r="N17" s="1363"/>
      <c r="O17" s="1363"/>
      <c r="P17" s="1896"/>
    </row>
    <row r="18" spans="1:16" ht="17.25" customHeight="1" x14ac:dyDescent="0.35">
      <c r="A18" s="1907"/>
      <c r="B18" s="1039">
        <v>12</v>
      </c>
      <c r="C18" s="23"/>
      <c r="D18" s="1094" t="s">
        <v>8</v>
      </c>
      <c r="E18" s="612"/>
      <c r="F18" s="612"/>
      <c r="G18" s="1040"/>
      <c r="H18" s="612"/>
      <c r="I18" s="612"/>
      <c r="J18" s="612"/>
      <c r="K18" s="612"/>
      <c r="L18" s="612" t="s">
        <v>8</v>
      </c>
      <c r="M18" s="1040"/>
      <c r="N18" s="612"/>
      <c r="O18" s="612"/>
      <c r="P18" s="1041"/>
    </row>
    <row r="19" spans="1:16" ht="17.25" customHeight="1" x14ac:dyDescent="0.35">
      <c r="A19" s="1907"/>
      <c r="B19" s="1039">
        <v>13</v>
      </c>
      <c r="C19" s="23" t="s">
        <v>696</v>
      </c>
      <c r="D19" s="1040"/>
      <c r="E19" s="612" t="s">
        <v>8</v>
      </c>
      <c r="F19" s="612"/>
      <c r="G19" s="1040" t="s">
        <v>8</v>
      </c>
      <c r="H19" s="612"/>
      <c r="I19" s="612"/>
      <c r="J19" s="612"/>
      <c r="K19" s="612"/>
      <c r="L19" s="612"/>
      <c r="M19" s="1040"/>
      <c r="N19" s="612" t="s">
        <v>8</v>
      </c>
      <c r="O19" s="612"/>
      <c r="P19" s="1041"/>
    </row>
    <row r="20" spans="1:16" x14ac:dyDescent="0.35">
      <c r="A20" s="1908"/>
      <c r="B20" s="1039">
        <v>14</v>
      </c>
      <c r="C20" s="23"/>
      <c r="D20" s="1094" t="s">
        <v>8</v>
      </c>
      <c r="E20" s="612"/>
      <c r="F20" s="612"/>
      <c r="G20" s="1040"/>
      <c r="H20" s="612"/>
      <c r="I20" s="612"/>
      <c r="J20" s="612"/>
      <c r="K20" s="612"/>
      <c r="L20" s="612" t="s">
        <v>8</v>
      </c>
      <c r="M20" s="1040"/>
      <c r="N20" s="612"/>
      <c r="O20" s="612"/>
      <c r="P20" s="1041"/>
    </row>
    <row r="21" spans="1:16" ht="17.25" customHeight="1" x14ac:dyDescent="0.35">
      <c r="A21" s="1916" t="s">
        <v>118</v>
      </c>
      <c r="B21" s="1039">
        <v>15</v>
      </c>
      <c r="C21" s="23" t="s">
        <v>697</v>
      </c>
      <c r="D21" s="1040"/>
      <c r="E21" s="612" t="s">
        <v>8</v>
      </c>
      <c r="F21" s="612"/>
      <c r="G21" s="1040"/>
      <c r="H21" s="612"/>
      <c r="I21" s="612"/>
      <c r="J21" s="612"/>
      <c r="K21" s="612"/>
      <c r="L21" s="612" t="s">
        <v>8</v>
      </c>
      <c r="M21" s="1040"/>
      <c r="N21" s="612"/>
      <c r="O21" s="612"/>
      <c r="P21" s="1041"/>
    </row>
    <row r="22" spans="1:16" ht="17.25" customHeight="1" x14ac:dyDescent="0.35">
      <c r="A22" s="1907"/>
      <c r="B22" s="1039">
        <v>16</v>
      </c>
      <c r="C22" s="23"/>
      <c r="D22" s="1040"/>
      <c r="E22" s="612" t="s">
        <v>8</v>
      </c>
      <c r="F22" s="612"/>
      <c r="G22" s="1040" t="s">
        <v>8</v>
      </c>
      <c r="H22" s="612"/>
      <c r="I22" s="612"/>
      <c r="J22" s="612"/>
      <c r="K22" s="612"/>
      <c r="L22" s="612"/>
      <c r="M22" s="1040"/>
      <c r="N22" s="612" t="s">
        <v>8</v>
      </c>
      <c r="O22" s="612"/>
      <c r="P22" s="1041"/>
    </row>
    <row r="23" spans="1:16" ht="17.25" customHeight="1" x14ac:dyDescent="0.35">
      <c r="A23" s="1907"/>
      <c r="B23" s="1039">
        <v>17</v>
      </c>
      <c r="C23" s="23"/>
      <c r="D23" s="1040"/>
      <c r="E23" s="612" t="s">
        <v>8</v>
      </c>
      <c r="F23" s="612"/>
      <c r="G23" s="1040" t="s">
        <v>8</v>
      </c>
      <c r="H23" s="612"/>
      <c r="I23" s="612"/>
      <c r="J23" s="612"/>
      <c r="K23" s="612"/>
      <c r="L23" s="612"/>
      <c r="M23" s="1040"/>
      <c r="N23" s="612" t="s">
        <v>8</v>
      </c>
      <c r="O23" s="612"/>
      <c r="P23" s="1041"/>
    </row>
    <row r="24" spans="1:16" ht="18" customHeight="1" x14ac:dyDescent="0.3">
      <c r="A24" s="1907"/>
      <c r="B24" s="1039">
        <v>18</v>
      </c>
      <c r="C24" s="1890"/>
      <c r="D24" s="1923" t="s">
        <v>8</v>
      </c>
      <c r="E24" s="1362"/>
      <c r="F24" s="1362"/>
      <c r="G24" s="1364"/>
      <c r="H24" s="1926" t="s">
        <v>8</v>
      </c>
      <c r="I24" s="1362"/>
      <c r="J24" s="1362"/>
      <c r="K24" s="1362"/>
      <c r="L24" s="1362"/>
      <c r="M24" s="1364" t="s">
        <v>8</v>
      </c>
      <c r="N24" s="1362"/>
      <c r="O24" s="1362"/>
      <c r="P24" s="1894"/>
    </row>
    <row r="25" spans="1:16" ht="16.5" customHeight="1" x14ac:dyDescent="0.3">
      <c r="A25" s="1907"/>
      <c r="B25" s="1039">
        <v>19</v>
      </c>
      <c r="C25" s="1919"/>
      <c r="D25" s="1925"/>
      <c r="E25" s="1386"/>
      <c r="F25" s="1386"/>
      <c r="G25" s="1387"/>
      <c r="H25" s="1927"/>
      <c r="I25" s="1386"/>
      <c r="J25" s="1386"/>
      <c r="K25" s="1386"/>
      <c r="L25" s="1386"/>
      <c r="M25" s="1387"/>
      <c r="N25" s="1386"/>
      <c r="O25" s="1386"/>
      <c r="P25" s="1895"/>
    </row>
    <row r="26" spans="1:16" ht="16.5" customHeight="1" x14ac:dyDescent="0.3">
      <c r="A26" s="1907"/>
      <c r="B26" s="1039">
        <v>20</v>
      </c>
      <c r="C26" s="1891"/>
      <c r="D26" s="1924"/>
      <c r="E26" s="1363"/>
      <c r="F26" s="1363"/>
      <c r="G26" s="1365"/>
      <c r="H26" s="1928"/>
      <c r="I26" s="1363"/>
      <c r="J26" s="1363"/>
      <c r="K26" s="1363"/>
      <c r="L26" s="1363"/>
      <c r="M26" s="1365"/>
      <c r="N26" s="1363"/>
      <c r="O26" s="1363"/>
      <c r="P26" s="1896"/>
    </row>
    <row r="27" spans="1:16" x14ac:dyDescent="0.35">
      <c r="A27" s="1907"/>
      <c r="B27" s="1039">
        <v>21</v>
      </c>
      <c r="C27" s="23"/>
      <c r="D27" s="1040"/>
      <c r="E27" s="612" t="s">
        <v>8</v>
      </c>
      <c r="F27" s="612"/>
      <c r="G27" s="1040" t="s">
        <v>8</v>
      </c>
      <c r="H27" s="612"/>
      <c r="I27" s="612"/>
      <c r="J27" s="612"/>
      <c r="K27" s="612"/>
      <c r="L27" s="612"/>
      <c r="M27" s="1040"/>
      <c r="N27" s="612" t="s">
        <v>8</v>
      </c>
      <c r="O27" s="612"/>
      <c r="P27" s="1041"/>
    </row>
    <row r="28" spans="1:16" x14ac:dyDescent="0.35">
      <c r="A28" s="1907"/>
      <c r="B28" s="1039">
        <v>22</v>
      </c>
      <c r="C28" s="23"/>
      <c r="D28" s="1040"/>
      <c r="E28" s="612" t="s">
        <v>8</v>
      </c>
      <c r="F28" s="612"/>
      <c r="G28" s="1040" t="s">
        <v>8</v>
      </c>
      <c r="H28" s="612"/>
      <c r="I28" s="612"/>
      <c r="J28" s="612"/>
      <c r="K28" s="612"/>
      <c r="L28" s="612"/>
      <c r="M28" s="1040"/>
      <c r="N28" s="612" t="s">
        <v>8</v>
      </c>
      <c r="O28" s="612"/>
      <c r="P28" s="1041"/>
    </row>
    <row r="29" spans="1:16" x14ac:dyDescent="0.35">
      <c r="A29" s="1907"/>
      <c r="B29" s="1039">
        <v>23</v>
      </c>
      <c r="C29" s="23"/>
      <c r="D29" s="663" t="s">
        <v>8</v>
      </c>
      <c r="E29" s="612"/>
      <c r="F29" s="612"/>
      <c r="G29" s="1040"/>
      <c r="H29" s="612"/>
      <c r="I29" s="612"/>
      <c r="J29" s="612"/>
      <c r="K29" s="612"/>
      <c r="L29" s="612" t="s">
        <v>8</v>
      </c>
      <c r="M29" s="1040"/>
      <c r="N29" s="612"/>
      <c r="O29" s="612"/>
      <c r="P29" s="1041"/>
    </row>
    <row r="30" spans="1:16" x14ac:dyDescent="0.35">
      <c r="A30" s="1907"/>
      <c r="B30" s="1042">
        <v>24</v>
      </c>
      <c r="C30" s="23" t="s">
        <v>698</v>
      </c>
      <c r="D30" s="1097" t="s">
        <v>8</v>
      </c>
      <c r="E30" s="612"/>
      <c r="F30" s="612"/>
      <c r="G30" s="1040"/>
      <c r="H30" s="1096" t="s">
        <v>8</v>
      </c>
      <c r="I30" s="1024"/>
      <c r="J30" s="1024"/>
      <c r="K30" s="1024"/>
      <c r="L30" s="1024" t="s">
        <v>8</v>
      </c>
      <c r="M30" s="1040"/>
      <c r="N30" s="612"/>
      <c r="O30" s="612"/>
      <c r="P30" s="1041"/>
    </row>
    <row r="31" spans="1:16" x14ac:dyDescent="0.35">
      <c r="A31" s="1908"/>
      <c r="B31" s="1039">
        <v>25</v>
      </c>
      <c r="C31" s="23"/>
      <c r="D31" s="1094" t="s">
        <v>8</v>
      </c>
      <c r="E31" s="612"/>
      <c r="F31" s="612"/>
      <c r="G31" s="1040"/>
      <c r="H31" s="612"/>
      <c r="I31" s="612" t="s">
        <v>8</v>
      </c>
      <c r="J31" s="612"/>
      <c r="K31" s="612"/>
      <c r="L31" s="612"/>
      <c r="M31" s="1040" t="s">
        <v>8</v>
      </c>
      <c r="N31" s="612"/>
      <c r="O31" s="612"/>
      <c r="P31" s="1041"/>
    </row>
    <row r="32" spans="1:16" ht="17.25" customHeight="1" x14ac:dyDescent="0.3">
      <c r="A32" s="1916" t="s">
        <v>20</v>
      </c>
      <c r="B32" s="1039">
        <v>26</v>
      </c>
      <c r="C32" s="1890"/>
      <c r="D32" s="1917" t="s">
        <v>8</v>
      </c>
      <c r="E32" s="1362"/>
      <c r="F32" s="1362"/>
      <c r="G32" s="1364"/>
      <c r="H32" s="1362"/>
      <c r="I32" s="1362"/>
      <c r="J32" s="1362"/>
      <c r="K32" s="1362"/>
      <c r="L32" s="1362" t="s">
        <v>8</v>
      </c>
      <c r="M32" s="1364"/>
      <c r="N32" s="1362"/>
      <c r="O32" s="1362"/>
      <c r="P32" s="1894"/>
    </row>
    <row r="33" spans="1:16" ht="16.5" x14ac:dyDescent="0.3">
      <c r="A33" s="1907"/>
      <c r="B33" s="1039">
        <v>27</v>
      </c>
      <c r="C33" s="1891"/>
      <c r="D33" s="1918"/>
      <c r="E33" s="1363"/>
      <c r="F33" s="1363"/>
      <c r="G33" s="1365"/>
      <c r="H33" s="1363"/>
      <c r="I33" s="1363"/>
      <c r="J33" s="1363"/>
      <c r="K33" s="1363"/>
      <c r="L33" s="1363"/>
      <c r="M33" s="1365"/>
      <c r="N33" s="1363"/>
      <c r="O33" s="1363"/>
      <c r="P33" s="1896"/>
    </row>
    <row r="34" spans="1:16" x14ac:dyDescent="0.35">
      <c r="A34" s="1907"/>
      <c r="B34" s="1039">
        <v>28</v>
      </c>
      <c r="C34" s="23"/>
      <c r="D34" s="1040"/>
      <c r="E34" s="612" t="s">
        <v>8</v>
      </c>
      <c r="F34" s="612"/>
      <c r="G34" s="1040"/>
      <c r="H34" s="612"/>
      <c r="I34" s="612"/>
      <c r="J34" s="612"/>
      <c r="K34" s="612"/>
      <c r="L34" s="612"/>
      <c r="M34" s="1040" t="s">
        <v>8</v>
      </c>
      <c r="N34" s="612"/>
      <c r="O34" s="612"/>
      <c r="P34" s="1041"/>
    </row>
    <row r="35" spans="1:16" x14ac:dyDescent="0.35">
      <c r="A35" s="1907"/>
      <c r="B35" s="1039">
        <v>29</v>
      </c>
      <c r="C35" s="23"/>
      <c r="D35" s="1040"/>
      <c r="E35" s="612" t="s">
        <v>8</v>
      </c>
      <c r="F35" s="612"/>
      <c r="G35" s="1040" t="s">
        <v>8</v>
      </c>
      <c r="H35" s="612"/>
      <c r="I35" s="612"/>
      <c r="J35" s="612"/>
      <c r="K35" s="612"/>
      <c r="L35" s="612"/>
      <c r="M35" s="1040"/>
      <c r="N35" s="612" t="s">
        <v>8</v>
      </c>
      <c r="O35" s="612"/>
      <c r="P35" s="1041"/>
    </row>
    <row r="36" spans="1:16" x14ac:dyDescent="0.35">
      <c r="A36" s="1907"/>
      <c r="B36" s="1039">
        <v>30</v>
      </c>
      <c r="C36" s="23"/>
      <c r="D36" s="1040"/>
      <c r="E36" s="612" t="s">
        <v>8</v>
      </c>
      <c r="F36" s="612"/>
      <c r="G36" s="1040" t="s">
        <v>8</v>
      </c>
      <c r="H36" s="612"/>
      <c r="I36" s="612"/>
      <c r="J36" s="612"/>
      <c r="K36" s="612"/>
      <c r="L36" s="612"/>
      <c r="M36" s="1040"/>
      <c r="N36" s="612" t="s">
        <v>8</v>
      </c>
      <c r="O36" s="612"/>
      <c r="P36" s="1041"/>
    </row>
    <row r="37" spans="1:16" x14ac:dyDescent="0.35">
      <c r="A37" s="1907"/>
      <c r="B37" s="1039">
        <v>31</v>
      </c>
      <c r="C37" s="23"/>
      <c r="D37" s="1040"/>
      <c r="E37" s="612" t="s">
        <v>8</v>
      </c>
      <c r="F37" s="612"/>
      <c r="G37" s="1040"/>
      <c r="H37" s="1095" t="s">
        <v>8</v>
      </c>
      <c r="I37" s="612"/>
      <c r="J37" s="612"/>
      <c r="K37" s="612"/>
      <c r="L37" s="612" t="s">
        <v>8</v>
      </c>
      <c r="M37" s="1040"/>
      <c r="N37" s="612"/>
      <c r="O37" s="612"/>
      <c r="P37" s="1041"/>
    </row>
    <row r="38" spans="1:16" x14ac:dyDescent="0.35">
      <c r="A38" s="1907"/>
      <c r="B38" s="1039">
        <v>32</v>
      </c>
      <c r="C38" s="23"/>
      <c r="D38" s="1087" t="s">
        <v>8</v>
      </c>
      <c r="E38" s="612"/>
      <c r="F38" s="612"/>
      <c r="G38" s="1040"/>
      <c r="H38" s="612"/>
      <c r="I38" s="612"/>
      <c r="J38" s="612"/>
      <c r="K38" s="612"/>
      <c r="L38" s="612" t="s">
        <v>8</v>
      </c>
      <c r="M38" s="1040"/>
      <c r="N38" s="612"/>
      <c r="O38" s="612"/>
      <c r="P38" s="1041"/>
    </row>
    <row r="39" spans="1:16" x14ac:dyDescent="0.35">
      <c r="A39" s="1907"/>
      <c r="B39" s="1039">
        <v>33</v>
      </c>
      <c r="C39" s="23"/>
      <c r="D39" s="1087" t="s">
        <v>8</v>
      </c>
      <c r="E39" s="612"/>
      <c r="F39" s="612"/>
      <c r="G39" s="1040"/>
      <c r="H39" s="612"/>
      <c r="I39" s="612"/>
      <c r="J39" s="612"/>
      <c r="K39" s="612"/>
      <c r="L39" s="612" t="s">
        <v>8</v>
      </c>
      <c r="M39" s="1040"/>
      <c r="N39" s="612"/>
      <c r="O39" s="612"/>
      <c r="P39" s="1041"/>
    </row>
    <row r="40" spans="1:16" x14ac:dyDescent="0.35">
      <c r="A40" s="1907"/>
      <c r="B40" s="1039">
        <v>34</v>
      </c>
      <c r="C40" s="23"/>
      <c r="D40" s="1087" t="s">
        <v>8</v>
      </c>
      <c r="E40" s="612"/>
      <c r="F40" s="612"/>
      <c r="G40" s="1040"/>
      <c r="H40" s="612"/>
      <c r="I40" s="612"/>
      <c r="J40" s="612"/>
      <c r="K40" s="612"/>
      <c r="L40" s="612" t="s">
        <v>8</v>
      </c>
      <c r="M40" s="1040"/>
      <c r="N40" s="612"/>
      <c r="O40" s="612"/>
      <c r="P40" s="1041"/>
    </row>
    <row r="41" spans="1:16" x14ac:dyDescent="0.35">
      <c r="A41" s="1907"/>
      <c r="B41" s="1039">
        <v>35</v>
      </c>
      <c r="C41" s="23" t="s">
        <v>699</v>
      </c>
      <c r="D41" s="1040"/>
      <c r="E41" s="612"/>
      <c r="F41" s="612" t="s">
        <v>8</v>
      </c>
      <c r="G41" s="1040"/>
      <c r="H41" s="612"/>
      <c r="I41" s="612" t="s">
        <v>8</v>
      </c>
      <c r="J41" s="612" t="s">
        <v>8</v>
      </c>
      <c r="K41" s="612"/>
      <c r="L41" s="612" t="s">
        <v>8</v>
      </c>
      <c r="M41" s="1040"/>
      <c r="N41" s="612"/>
      <c r="O41" s="612"/>
      <c r="P41" s="1041"/>
    </row>
    <row r="42" spans="1:16" x14ac:dyDescent="0.35">
      <c r="A42" s="1907"/>
      <c r="B42" s="1039">
        <v>36</v>
      </c>
      <c r="C42" s="23"/>
      <c r="D42" s="1040"/>
      <c r="E42" s="612" t="s">
        <v>8</v>
      </c>
      <c r="F42" s="612"/>
      <c r="G42" s="1040"/>
      <c r="H42" s="612"/>
      <c r="I42" s="612"/>
      <c r="J42" s="612"/>
      <c r="K42" s="612"/>
      <c r="L42" s="612" t="s">
        <v>8</v>
      </c>
      <c r="M42" s="1040"/>
      <c r="N42" s="612"/>
      <c r="O42" s="612"/>
      <c r="P42" s="1041"/>
    </row>
    <row r="43" spans="1:16" ht="16.5" x14ac:dyDescent="0.3">
      <c r="A43" s="1907"/>
      <c r="B43" s="1042">
        <v>37</v>
      </c>
      <c r="C43" s="1043"/>
      <c r="D43" s="1022"/>
      <c r="E43" s="1024" t="s">
        <v>8</v>
      </c>
      <c r="F43" s="1024"/>
      <c r="G43" s="1022"/>
      <c r="H43" s="1024"/>
      <c r="I43" s="1024"/>
      <c r="J43" s="1024"/>
      <c r="K43" s="1024"/>
      <c r="L43" s="1024" t="s">
        <v>8</v>
      </c>
      <c r="M43" s="1022"/>
      <c r="N43" s="1024"/>
      <c r="O43" s="1024"/>
      <c r="P43" s="1044"/>
    </row>
    <row r="44" spans="1:16" ht="17.25" customHeight="1" x14ac:dyDescent="0.3">
      <c r="A44" s="1907"/>
      <c r="B44" s="1039">
        <v>38</v>
      </c>
      <c r="C44" s="1890"/>
      <c r="D44" s="1923" t="s">
        <v>8</v>
      </c>
      <c r="E44" s="1362"/>
      <c r="F44" s="1362"/>
      <c r="G44" s="1364"/>
      <c r="H44" s="1362"/>
      <c r="I44" s="1362"/>
      <c r="J44" s="1362"/>
      <c r="K44" s="1362"/>
      <c r="L44" s="1362" t="s">
        <v>8</v>
      </c>
      <c r="M44" s="1364"/>
      <c r="N44" s="1362"/>
      <c r="O44" s="1362"/>
      <c r="P44" s="1894"/>
    </row>
    <row r="45" spans="1:16" ht="16.5" x14ac:dyDescent="0.3">
      <c r="A45" s="1907"/>
      <c r="B45" s="1039">
        <v>39</v>
      </c>
      <c r="C45" s="1891"/>
      <c r="D45" s="1924"/>
      <c r="E45" s="1363"/>
      <c r="F45" s="1363"/>
      <c r="G45" s="1365"/>
      <c r="H45" s="1363"/>
      <c r="I45" s="1363"/>
      <c r="J45" s="1363"/>
      <c r="K45" s="1363"/>
      <c r="L45" s="1363"/>
      <c r="M45" s="1365"/>
      <c r="N45" s="1363"/>
      <c r="O45" s="1363"/>
      <c r="P45" s="1896"/>
    </row>
    <row r="46" spans="1:16" x14ac:dyDescent="0.35">
      <c r="A46" s="1907"/>
      <c r="B46" s="1039">
        <v>40</v>
      </c>
      <c r="C46" s="23"/>
      <c r="D46" s="1040"/>
      <c r="E46" s="612" t="s">
        <v>8</v>
      </c>
      <c r="F46" s="612"/>
      <c r="G46" s="1040" t="s">
        <v>8</v>
      </c>
      <c r="H46" s="612"/>
      <c r="I46" s="612"/>
      <c r="J46" s="612"/>
      <c r="K46" s="612"/>
      <c r="L46" s="612"/>
      <c r="M46" s="1040"/>
      <c r="N46" s="612" t="s">
        <v>8</v>
      </c>
      <c r="O46" s="612"/>
      <c r="P46" s="1041"/>
    </row>
    <row r="47" spans="1:16" x14ac:dyDescent="0.35">
      <c r="A47" s="1907"/>
      <c r="B47" s="1039">
        <v>41</v>
      </c>
      <c r="C47" s="23"/>
      <c r="D47" s="1040"/>
      <c r="E47" s="612" t="s">
        <v>8</v>
      </c>
      <c r="F47" s="612"/>
      <c r="G47" s="1040" t="s">
        <v>8</v>
      </c>
      <c r="H47" s="612"/>
      <c r="I47" s="612"/>
      <c r="J47" s="612"/>
      <c r="K47" s="612"/>
      <c r="L47" s="612"/>
      <c r="M47" s="1040"/>
      <c r="N47" s="612" t="s">
        <v>8</v>
      </c>
      <c r="O47" s="612"/>
      <c r="P47" s="1041"/>
    </row>
    <row r="48" spans="1:16" x14ac:dyDescent="0.35">
      <c r="A48" s="1908"/>
      <c r="B48" s="1039">
        <v>42</v>
      </c>
      <c r="C48" s="23"/>
      <c r="D48" s="1090" t="s">
        <v>8</v>
      </c>
      <c r="E48" s="612"/>
      <c r="F48" s="612"/>
      <c r="G48" s="1040"/>
      <c r="H48" s="612"/>
      <c r="I48" s="612"/>
      <c r="J48" s="612"/>
      <c r="K48" s="612"/>
      <c r="L48" s="612" t="s">
        <v>8</v>
      </c>
      <c r="M48" s="1040"/>
      <c r="N48" s="612"/>
      <c r="O48" s="612"/>
      <c r="P48" s="1041"/>
    </row>
    <row r="49" spans="1:16" x14ac:dyDescent="0.35">
      <c r="A49" s="1916" t="s">
        <v>23</v>
      </c>
      <c r="B49" s="1039">
        <v>43</v>
      </c>
      <c r="C49" s="24" t="s">
        <v>700</v>
      </c>
      <c r="D49" s="1923" t="s">
        <v>8</v>
      </c>
      <c r="E49" s="1362"/>
      <c r="F49" s="1362"/>
      <c r="G49" s="1364"/>
      <c r="H49" s="1362"/>
      <c r="I49" s="1362" t="s">
        <v>8</v>
      </c>
      <c r="J49" s="1362"/>
      <c r="K49" s="1362"/>
      <c r="L49" s="1362"/>
      <c r="M49" s="1364" t="s">
        <v>8</v>
      </c>
      <c r="N49" s="1362"/>
      <c r="O49" s="1362"/>
      <c r="P49" s="1894"/>
    </row>
    <row r="50" spans="1:16" x14ac:dyDescent="0.35">
      <c r="A50" s="1907"/>
      <c r="B50" s="1039">
        <v>44</v>
      </c>
      <c r="C50" s="23"/>
      <c r="D50" s="1925"/>
      <c r="E50" s="1386"/>
      <c r="F50" s="1386"/>
      <c r="G50" s="1387"/>
      <c r="H50" s="1386"/>
      <c r="I50" s="1386"/>
      <c r="J50" s="1386"/>
      <c r="K50" s="1386"/>
      <c r="L50" s="1386"/>
      <c r="M50" s="1387"/>
      <c r="N50" s="1386"/>
      <c r="O50" s="1386"/>
      <c r="P50" s="1895"/>
    </row>
    <row r="51" spans="1:16" x14ac:dyDescent="0.35">
      <c r="A51" s="1907"/>
      <c r="B51" s="1039">
        <v>45</v>
      </c>
      <c r="C51" s="23"/>
      <c r="D51" s="1924"/>
      <c r="E51" s="1363"/>
      <c r="F51" s="1363"/>
      <c r="G51" s="1365"/>
      <c r="H51" s="1363"/>
      <c r="I51" s="1363"/>
      <c r="J51" s="1363"/>
      <c r="K51" s="1363"/>
      <c r="L51" s="1363"/>
      <c r="M51" s="1365"/>
      <c r="N51" s="1363"/>
      <c r="O51" s="1363"/>
      <c r="P51" s="1896"/>
    </row>
    <row r="52" spans="1:16" ht="17.25" customHeight="1" x14ac:dyDescent="0.3">
      <c r="A52" s="1907"/>
      <c r="B52" s="1039">
        <v>46</v>
      </c>
      <c r="C52" s="1890"/>
      <c r="D52" s="1917" t="s">
        <v>8</v>
      </c>
      <c r="E52" s="1362"/>
      <c r="F52" s="1362"/>
      <c r="G52" s="1364"/>
      <c r="H52" s="1362"/>
      <c r="I52" s="1362"/>
      <c r="J52" s="1362"/>
      <c r="K52" s="1362"/>
      <c r="L52" s="1362"/>
      <c r="M52" s="1364" t="s">
        <v>8</v>
      </c>
      <c r="N52" s="1362"/>
      <c r="O52" s="1362"/>
      <c r="P52" s="1894"/>
    </row>
    <row r="53" spans="1:16" ht="16.5" x14ac:dyDescent="0.3">
      <c r="A53" s="1907"/>
      <c r="B53" s="1039">
        <v>47</v>
      </c>
      <c r="C53" s="1891"/>
      <c r="D53" s="1918"/>
      <c r="E53" s="1363"/>
      <c r="F53" s="1363"/>
      <c r="G53" s="1365"/>
      <c r="H53" s="1363"/>
      <c r="I53" s="1363"/>
      <c r="J53" s="1363"/>
      <c r="K53" s="1363"/>
      <c r="L53" s="1363"/>
      <c r="M53" s="1365"/>
      <c r="N53" s="1363"/>
      <c r="O53" s="1363"/>
      <c r="P53" s="1896"/>
    </row>
    <row r="54" spans="1:16" x14ac:dyDescent="0.35">
      <c r="A54" s="1907"/>
      <c r="B54" s="1039">
        <v>48</v>
      </c>
      <c r="C54" s="23"/>
      <c r="D54" s="1040"/>
      <c r="E54" s="612" t="s">
        <v>8</v>
      </c>
      <c r="F54" s="612"/>
      <c r="G54" s="1040" t="s">
        <v>8</v>
      </c>
      <c r="H54" s="612"/>
      <c r="I54" s="612"/>
      <c r="J54" s="612"/>
      <c r="K54" s="612"/>
      <c r="L54" s="612"/>
      <c r="M54" s="1040"/>
      <c r="N54" s="612" t="s">
        <v>8</v>
      </c>
      <c r="O54" s="612"/>
      <c r="P54" s="1041"/>
    </row>
    <row r="55" spans="1:16" x14ac:dyDescent="0.35">
      <c r="A55" s="1907"/>
      <c r="B55" s="1039">
        <v>49</v>
      </c>
      <c r="C55" s="23"/>
      <c r="D55" s="1040"/>
      <c r="E55" s="612" t="s">
        <v>8</v>
      </c>
      <c r="F55" s="612"/>
      <c r="G55" s="1040" t="s">
        <v>8</v>
      </c>
      <c r="H55" s="612"/>
      <c r="I55" s="612"/>
      <c r="J55" s="612"/>
      <c r="K55" s="612"/>
      <c r="L55" s="612"/>
      <c r="M55" s="1040"/>
      <c r="N55" s="612" t="s">
        <v>8</v>
      </c>
      <c r="O55" s="612"/>
      <c r="P55" s="1041"/>
    </row>
    <row r="56" spans="1:16" x14ac:dyDescent="0.35">
      <c r="A56" s="1907"/>
      <c r="B56" s="1039">
        <v>50</v>
      </c>
      <c r="C56" s="23"/>
      <c r="D56" s="663" t="s">
        <v>8</v>
      </c>
      <c r="E56" s="612"/>
      <c r="F56" s="612"/>
      <c r="G56" s="1040" t="s">
        <v>8</v>
      </c>
      <c r="H56" s="612"/>
      <c r="I56" s="612"/>
      <c r="J56" s="612"/>
      <c r="K56" s="612" t="s">
        <v>8</v>
      </c>
      <c r="L56" s="612"/>
      <c r="M56" s="1040"/>
      <c r="N56" s="612" t="s">
        <v>8</v>
      </c>
      <c r="O56" s="612"/>
      <c r="P56" s="1041"/>
    </row>
    <row r="57" spans="1:16" x14ac:dyDescent="0.35">
      <c r="A57" s="1907"/>
      <c r="B57" s="1039">
        <v>51</v>
      </c>
      <c r="C57" s="23"/>
      <c r="D57" s="1040"/>
      <c r="E57" s="612" t="s">
        <v>8</v>
      </c>
      <c r="F57" s="612"/>
      <c r="G57" s="1040"/>
      <c r="H57" s="612"/>
      <c r="I57" s="612"/>
      <c r="J57" s="612"/>
      <c r="K57" s="612"/>
      <c r="L57" s="612"/>
      <c r="M57" s="1040"/>
      <c r="N57" s="612" t="s">
        <v>8</v>
      </c>
      <c r="O57" s="612"/>
      <c r="P57" s="1041"/>
    </row>
    <row r="58" spans="1:16" x14ac:dyDescent="0.35">
      <c r="A58" s="1907"/>
      <c r="B58" s="1039">
        <v>52</v>
      </c>
      <c r="C58" s="23" t="s">
        <v>701</v>
      </c>
      <c r="D58" s="663" t="s">
        <v>8</v>
      </c>
      <c r="E58" s="612"/>
      <c r="F58" s="612"/>
      <c r="G58" s="1040"/>
      <c r="H58" s="612"/>
      <c r="I58" s="612"/>
      <c r="J58" s="612"/>
      <c r="K58" s="612"/>
      <c r="L58" s="612" t="s">
        <v>8</v>
      </c>
      <c r="M58" s="1040"/>
      <c r="N58" s="612"/>
      <c r="O58" s="612"/>
      <c r="P58" s="1041"/>
    </row>
    <row r="59" spans="1:16" x14ac:dyDescent="0.35">
      <c r="A59" s="1907"/>
      <c r="B59" s="1039">
        <v>53</v>
      </c>
      <c r="C59" s="23" t="s">
        <v>702</v>
      </c>
      <c r="D59" s="1040"/>
      <c r="E59" s="612" t="s">
        <v>8</v>
      </c>
      <c r="F59" s="612"/>
      <c r="G59" s="1040"/>
      <c r="H59" s="612"/>
      <c r="I59" s="612"/>
      <c r="J59" s="612"/>
      <c r="K59" s="612"/>
      <c r="L59" s="612" t="s">
        <v>8</v>
      </c>
      <c r="M59" s="1040"/>
      <c r="N59" s="612"/>
      <c r="O59" s="612"/>
      <c r="P59" s="1041"/>
    </row>
    <row r="60" spans="1:16" x14ac:dyDescent="0.35">
      <c r="A60" s="1907"/>
      <c r="B60" s="1039">
        <v>54</v>
      </c>
      <c r="C60" s="23" t="s">
        <v>703</v>
      </c>
      <c r="D60" s="1040"/>
      <c r="E60" s="612" t="s">
        <v>8</v>
      </c>
      <c r="F60" s="612"/>
      <c r="G60" s="1040"/>
      <c r="H60" s="612"/>
      <c r="I60" s="612"/>
      <c r="J60" s="612"/>
      <c r="K60" s="612"/>
      <c r="L60" s="612" t="s">
        <v>8</v>
      </c>
      <c r="M60" s="1040"/>
      <c r="N60" s="612"/>
      <c r="O60" s="612"/>
      <c r="P60" s="1041"/>
    </row>
    <row r="61" spans="1:16" x14ac:dyDescent="0.35">
      <c r="A61" s="1907"/>
      <c r="B61" s="1039">
        <v>55</v>
      </c>
      <c r="C61" s="23"/>
      <c r="D61" s="663" t="s">
        <v>8</v>
      </c>
      <c r="E61" s="612"/>
      <c r="F61" s="1040"/>
      <c r="G61" s="1040" t="s">
        <v>8</v>
      </c>
      <c r="H61" s="612"/>
      <c r="I61" s="612"/>
      <c r="J61" s="612"/>
      <c r="K61" s="612"/>
      <c r="L61" s="612"/>
      <c r="M61" s="1040"/>
      <c r="N61" s="612" t="s">
        <v>8</v>
      </c>
      <c r="O61" s="612"/>
      <c r="P61" s="1041"/>
    </row>
    <row r="62" spans="1:16" x14ac:dyDescent="0.35">
      <c r="A62" s="1907"/>
      <c r="B62" s="1039">
        <v>56</v>
      </c>
      <c r="C62" s="23"/>
      <c r="D62" s="1040"/>
      <c r="E62" s="612" t="s">
        <v>8</v>
      </c>
      <c r="F62" s="1040"/>
      <c r="G62" s="1040" t="s">
        <v>8</v>
      </c>
      <c r="H62" s="612"/>
      <c r="I62" s="612"/>
      <c r="J62" s="612"/>
      <c r="K62" s="612"/>
      <c r="L62" s="612"/>
      <c r="M62" s="1040"/>
      <c r="N62" s="612" t="s">
        <v>8</v>
      </c>
      <c r="O62" s="612"/>
      <c r="P62" s="1041"/>
    </row>
    <row r="63" spans="1:16" x14ac:dyDescent="0.35">
      <c r="A63" s="1907"/>
      <c r="B63" s="1039">
        <v>57</v>
      </c>
      <c r="C63" s="23"/>
      <c r="D63" s="1040"/>
      <c r="E63" s="612" t="s">
        <v>8</v>
      </c>
      <c r="F63" s="612"/>
      <c r="G63" s="1040" t="s">
        <v>8</v>
      </c>
      <c r="H63" s="612"/>
      <c r="I63" s="612"/>
      <c r="J63" s="612"/>
      <c r="K63" s="612"/>
      <c r="L63" s="612"/>
      <c r="M63" s="1040"/>
      <c r="N63" s="612" t="s">
        <v>8</v>
      </c>
      <c r="O63" s="612"/>
      <c r="P63" s="1041"/>
    </row>
    <row r="64" spans="1:16" x14ac:dyDescent="0.35">
      <c r="A64" s="1907"/>
      <c r="B64" s="1039">
        <v>58</v>
      </c>
      <c r="C64" s="23" t="s">
        <v>704</v>
      </c>
      <c r="D64" s="1362" t="s">
        <v>705</v>
      </c>
      <c r="E64" s="1362"/>
      <c r="F64" s="1362"/>
      <c r="G64" s="1364"/>
      <c r="H64" s="1362"/>
      <c r="I64" s="1362"/>
      <c r="J64" s="1362"/>
      <c r="K64" s="1362"/>
      <c r="L64" s="1362"/>
      <c r="M64" s="1362" t="s">
        <v>705</v>
      </c>
      <c r="N64" s="1362"/>
      <c r="O64" s="1362"/>
      <c r="P64" s="1894"/>
    </row>
    <row r="65" spans="1:17" x14ac:dyDescent="0.35">
      <c r="A65" s="1907"/>
      <c r="B65" s="1039">
        <v>59</v>
      </c>
      <c r="C65" s="23"/>
      <c r="D65" s="1363"/>
      <c r="E65" s="1363"/>
      <c r="F65" s="1363"/>
      <c r="G65" s="1365"/>
      <c r="H65" s="1363"/>
      <c r="I65" s="1363"/>
      <c r="J65" s="1363"/>
      <c r="K65" s="1363"/>
      <c r="L65" s="1363"/>
      <c r="M65" s="1363"/>
      <c r="N65" s="1363"/>
      <c r="O65" s="1363"/>
      <c r="P65" s="1896"/>
    </row>
    <row r="66" spans="1:17" x14ac:dyDescent="0.35">
      <c r="A66" s="1907"/>
      <c r="B66" s="1039">
        <v>60</v>
      </c>
      <c r="C66" s="23" t="s">
        <v>706</v>
      </c>
      <c r="D66" s="663" t="s">
        <v>8</v>
      </c>
      <c r="E66" s="477"/>
      <c r="F66" s="612"/>
      <c r="G66" s="1040"/>
      <c r="H66" s="612"/>
      <c r="I66" s="1024" t="s">
        <v>8</v>
      </c>
      <c r="J66" s="612"/>
      <c r="K66" s="612"/>
      <c r="L66" s="612" t="s">
        <v>8</v>
      </c>
      <c r="M66" s="1040"/>
      <c r="N66" s="1046"/>
      <c r="O66" s="1046"/>
      <c r="P66" s="470"/>
    </row>
    <row r="67" spans="1:17" ht="17.25" customHeight="1" x14ac:dyDescent="0.3">
      <c r="A67" s="1907"/>
      <c r="B67" s="1039">
        <v>61</v>
      </c>
      <c r="C67" s="1890"/>
      <c r="D67" s="1364"/>
      <c r="E67" s="1362" t="s">
        <v>8</v>
      </c>
      <c r="F67" s="1362"/>
      <c r="G67" s="1364"/>
      <c r="H67" s="1362"/>
      <c r="I67" s="1362"/>
      <c r="J67" s="1362" t="s">
        <v>8</v>
      </c>
      <c r="K67" s="1362"/>
      <c r="L67" s="1362" t="s">
        <v>8</v>
      </c>
      <c r="M67" s="1364"/>
      <c r="N67" s="1362"/>
      <c r="O67" s="1362"/>
      <c r="P67" s="1894"/>
    </row>
    <row r="68" spans="1:17" ht="16.5" x14ac:dyDescent="0.3">
      <c r="A68" s="1907"/>
      <c r="B68" s="1039">
        <v>62</v>
      </c>
      <c r="C68" s="1891"/>
      <c r="D68" s="1365"/>
      <c r="E68" s="1363"/>
      <c r="F68" s="1363"/>
      <c r="G68" s="1365"/>
      <c r="H68" s="1363"/>
      <c r="I68" s="1363"/>
      <c r="J68" s="1363"/>
      <c r="K68" s="1363"/>
      <c r="L68" s="1363"/>
      <c r="M68" s="1365"/>
      <c r="N68" s="1363"/>
      <c r="O68" s="1363"/>
      <c r="P68" s="1896"/>
    </row>
    <row r="69" spans="1:17" ht="16.5" x14ac:dyDescent="0.3">
      <c r="A69" s="1907"/>
      <c r="B69" s="1042">
        <v>63</v>
      </c>
      <c r="C69" s="1043"/>
      <c r="D69" s="1040" t="s">
        <v>756</v>
      </c>
      <c r="E69" s="1024"/>
      <c r="F69" s="1024"/>
      <c r="G69" s="1022"/>
      <c r="H69" s="1024"/>
      <c r="I69" s="1040" t="s">
        <v>756</v>
      </c>
      <c r="J69" s="1024"/>
      <c r="K69" s="1024"/>
      <c r="L69" s="1040" t="s">
        <v>756</v>
      </c>
      <c r="M69" s="1022"/>
      <c r="N69" s="1024"/>
      <c r="O69" s="1024"/>
      <c r="P69" s="1044"/>
    </row>
    <row r="70" spans="1:17" x14ac:dyDescent="0.35">
      <c r="A70" s="1907"/>
      <c r="B70" s="1039">
        <v>64</v>
      </c>
      <c r="C70" s="23"/>
      <c r="D70" s="1040"/>
      <c r="E70" s="612" t="s">
        <v>8</v>
      </c>
      <c r="F70" s="612"/>
      <c r="G70" s="1040" t="s">
        <v>8</v>
      </c>
      <c r="H70" s="612"/>
      <c r="I70" s="612"/>
      <c r="J70" s="612"/>
      <c r="K70" s="612"/>
      <c r="L70" s="612"/>
      <c r="M70" s="1040"/>
      <c r="N70" s="612" t="s">
        <v>8</v>
      </c>
      <c r="O70" s="612"/>
      <c r="P70" s="1041"/>
    </row>
    <row r="71" spans="1:17" x14ac:dyDescent="0.35">
      <c r="A71" s="1907"/>
      <c r="B71" s="1039">
        <v>65</v>
      </c>
      <c r="C71" s="23"/>
      <c r="D71" s="1040"/>
      <c r="E71" s="612" t="s">
        <v>8</v>
      </c>
      <c r="F71" s="612"/>
      <c r="G71" s="1040" t="s">
        <v>8</v>
      </c>
      <c r="H71" s="612"/>
      <c r="I71" s="612"/>
      <c r="J71" s="612"/>
      <c r="K71" s="612"/>
      <c r="L71" s="612"/>
      <c r="M71" s="1040"/>
      <c r="N71" s="612" t="s">
        <v>8</v>
      </c>
      <c r="O71" s="612"/>
      <c r="P71" s="1041"/>
      <c r="Q71" s="33"/>
    </row>
    <row r="72" spans="1:17" x14ac:dyDescent="0.35">
      <c r="A72" s="1907"/>
      <c r="B72" s="1039">
        <v>66</v>
      </c>
      <c r="C72" s="23"/>
      <c r="D72" s="1094" t="s">
        <v>8</v>
      </c>
      <c r="E72" s="612"/>
      <c r="F72" s="612"/>
      <c r="G72" s="1040"/>
      <c r="H72" s="612"/>
      <c r="I72" s="612"/>
      <c r="J72" s="612"/>
      <c r="K72" s="612"/>
      <c r="L72" s="612"/>
      <c r="M72" s="1040" t="s">
        <v>8</v>
      </c>
      <c r="N72" s="612"/>
      <c r="O72" s="612"/>
      <c r="P72" s="1041"/>
    </row>
    <row r="73" spans="1:17" x14ac:dyDescent="0.35">
      <c r="A73" s="1907"/>
      <c r="B73" s="1039">
        <v>67</v>
      </c>
      <c r="C73" s="23"/>
      <c r="D73" s="663" t="s">
        <v>8</v>
      </c>
      <c r="E73" s="612"/>
      <c r="F73" s="612"/>
      <c r="G73" s="1040"/>
      <c r="H73" s="612"/>
      <c r="I73" s="612"/>
      <c r="J73" s="612"/>
      <c r="K73" s="612"/>
      <c r="L73" s="612"/>
      <c r="M73" s="1040" t="s">
        <v>8</v>
      </c>
      <c r="N73" s="612"/>
      <c r="O73" s="612"/>
      <c r="P73" s="1041"/>
    </row>
    <row r="74" spans="1:17" ht="16.5" x14ac:dyDescent="0.3">
      <c r="A74" s="1907"/>
      <c r="B74" s="1042">
        <v>68</v>
      </c>
      <c r="C74" s="1043"/>
      <c r="D74" s="1022"/>
      <c r="E74" s="1024" t="s">
        <v>8</v>
      </c>
      <c r="F74" s="1024"/>
      <c r="G74" s="1022" t="s">
        <v>8</v>
      </c>
      <c r="H74" s="1024"/>
      <c r="I74" s="1024"/>
      <c r="J74" s="1024"/>
      <c r="K74" s="1024"/>
      <c r="L74" s="1024"/>
      <c r="M74" s="1022"/>
      <c r="N74" s="1024" t="s">
        <v>8</v>
      </c>
      <c r="O74" s="1024"/>
      <c r="P74" s="1044"/>
    </row>
    <row r="75" spans="1:17" ht="16.5" x14ac:dyDescent="0.3">
      <c r="A75" s="1907"/>
      <c r="B75" s="1042">
        <v>69</v>
      </c>
      <c r="C75" s="1043"/>
      <c r="D75" s="1022"/>
      <c r="E75" s="1024" t="s">
        <v>8</v>
      </c>
      <c r="F75" s="1024"/>
      <c r="G75" s="1022" t="s">
        <v>8</v>
      </c>
      <c r="H75" s="1024"/>
      <c r="I75" s="1024"/>
      <c r="J75" s="1024"/>
      <c r="K75" s="1024"/>
      <c r="L75" s="1024"/>
      <c r="M75" s="1022"/>
      <c r="N75" s="1024" t="s">
        <v>8</v>
      </c>
      <c r="O75" s="1024"/>
      <c r="P75" s="1044"/>
    </row>
    <row r="76" spans="1:17" ht="16.5" x14ac:dyDescent="0.3">
      <c r="A76" s="1907"/>
      <c r="B76" s="1042">
        <v>70</v>
      </c>
      <c r="C76" s="1024" t="s">
        <v>707</v>
      </c>
      <c r="D76" s="1022"/>
      <c r="E76" s="1024" t="s">
        <v>8</v>
      </c>
      <c r="F76" s="1024"/>
      <c r="G76" s="1022"/>
      <c r="H76" s="1024"/>
      <c r="I76" s="1024"/>
      <c r="J76" s="1024"/>
      <c r="K76" s="1024"/>
      <c r="L76" s="1024" t="s">
        <v>8</v>
      </c>
      <c r="M76" s="1022"/>
      <c r="N76" s="1024"/>
      <c r="O76" s="1024"/>
      <c r="P76" s="1044"/>
    </row>
    <row r="77" spans="1:17" x14ac:dyDescent="0.35">
      <c r="A77" s="1907"/>
      <c r="B77" s="1039">
        <v>71</v>
      </c>
      <c r="C77" s="23"/>
      <c r="D77" s="1040"/>
      <c r="E77" s="612" t="s">
        <v>8</v>
      </c>
      <c r="F77" s="612"/>
      <c r="G77" s="1040"/>
      <c r="H77" s="612"/>
      <c r="I77" s="612"/>
      <c r="J77" s="612"/>
      <c r="K77" s="612"/>
      <c r="L77" s="612" t="s">
        <v>8</v>
      </c>
      <c r="M77" s="1040"/>
      <c r="N77" s="612"/>
      <c r="O77" s="612"/>
      <c r="P77" s="1041"/>
    </row>
    <row r="78" spans="1:17" x14ac:dyDescent="0.35">
      <c r="A78" s="1907"/>
      <c r="B78" s="1039">
        <v>72</v>
      </c>
      <c r="C78" s="23"/>
      <c r="D78" s="1094" t="s">
        <v>8</v>
      </c>
      <c r="E78" s="612"/>
      <c r="F78" s="612"/>
      <c r="G78" s="1040"/>
      <c r="H78" s="612"/>
      <c r="I78" s="612"/>
      <c r="J78" s="612"/>
      <c r="K78" s="612"/>
      <c r="L78" s="612"/>
      <c r="M78" s="1040" t="s">
        <v>8</v>
      </c>
      <c r="N78" s="612"/>
      <c r="O78" s="612"/>
      <c r="P78" s="1041"/>
    </row>
    <row r="79" spans="1:17" ht="17.25" customHeight="1" x14ac:dyDescent="0.3">
      <c r="A79" s="1907"/>
      <c r="B79" s="1047">
        <v>73</v>
      </c>
      <c r="C79" s="1890"/>
      <c r="D79" s="1920" t="s">
        <v>8</v>
      </c>
      <c r="E79" s="1362"/>
      <c r="F79" s="1362"/>
      <c r="G79" s="1364"/>
      <c r="H79" s="1362" t="s">
        <v>8</v>
      </c>
      <c r="I79" s="1362"/>
      <c r="J79" s="1362"/>
      <c r="K79" s="1362"/>
      <c r="L79" s="1362" t="s">
        <v>8</v>
      </c>
      <c r="M79" s="1364"/>
      <c r="N79" s="1362"/>
      <c r="O79" s="1362"/>
      <c r="P79" s="1894"/>
    </row>
    <row r="80" spans="1:17" ht="16.5" x14ac:dyDescent="0.3">
      <c r="A80" s="1907"/>
      <c r="B80" s="1047">
        <v>74</v>
      </c>
      <c r="C80" s="1919"/>
      <c r="D80" s="1921"/>
      <c r="E80" s="1386"/>
      <c r="F80" s="1386"/>
      <c r="G80" s="1387"/>
      <c r="H80" s="1386"/>
      <c r="I80" s="1386"/>
      <c r="J80" s="1386"/>
      <c r="K80" s="1386"/>
      <c r="L80" s="1386"/>
      <c r="M80" s="1387"/>
      <c r="N80" s="1386"/>
      <c r="O80" s="1386"/>
      <c r="P80" s="1895"/>
    </row>
    <row r="81" spans="1:16" ht="16.5" x14ac:dyDescent="0.3">
      <c r="A81" s="1907"/>
      <c r="B81" s="1047">
        <v>75</v>
      </c>
      <c r="C81" s="1919"/>
      <c r="D81" s="1921"/>
      <c r="E81" s="1386"/>
      <c r="F81" s="1386"/>
      <c r="G81" s="1387"/>
      <c r="H81" s="1386"/>
      <c r="I81" s="1386"/>
      <c r="J81" s="1386"/>
      <c r="K81" s="1386"/>
      <c r="L81" s="1386"/>
      <c r="M81" s="1387"/>
      <c r="N81" s="1386"/>
      <c r="O81" s="1386"/>
      <c r="P81" s="1895"/>
    </row>
    <row r="82" spans="1:16" ht="16.5" x14ac:dyDescent="0.3">
      <c r="A82" s="1907"/>
      <c r="B82" s="1047">
        <v>76</v>
      </c>
      <c r="C82" s="1891"/>
      <c r="D82" s="1922"/>
      <c r="E82" s="1363"/>
      <c r="F82" s="1363"/>
      <c r="G82" s="1365"/>
      <c r="H82" s="1363"/>
      <c r="I82" s="1363"/>
      <c r="J82" s="1363"/>
      <c r="K82" s="1363"/>
      <c r="L82" s="1363"/>
      <c r="M82" s="1365"/>
      <c r="N82" s="1363"/>
      <c r="O82" s="1363"/>
      <c r="P82" s="1896"/>
    </row>
    <row r="83" spans="1:16" ht="17.25" customHeight="1" x14ac:dyDescent="0.3">
      <c r="A83" s="1907"/>
      <c r="B83" s="1047">
        <v>77</v>
      </c>
      <c r="C83" s="1890"/>
      <c r="D83" s="1917" t="s">
        <v>8</v>
      </c>
      <c r="E83" s="1362"/>
      <c r="F83" s="1362"/>
      <c r="G83" s="1364"/>
      <c r="H83" s="1362" t="s">
        <v>8</v>
      </c>
      <c r="I83" s="1362"/>
      <c r="J83" s="1362"/>
      <c r="K83" s="1362"/>
      <c r="L83" s="1362" t="s">
        <v>8</v>
      </c>
      <c r="M83" s="1364"/>
      <c r="N83" s="1362"/>
      <c r="O83" s="1362"/>
      <c r="P83" s="1894"/>
    </row>
    <row r="84" spans="1:16" ht="16.5" x14ac:dyDescent="0.3">
      <c r="A84" s="1907"/>
      <c r="B84" s="1047">
        <v>78</v>
      </c>
      <c r="C84" s="1891"/>
      <c r="D84" s="1918"/>
      <c r="E84" s="1363"/>
      <c r="F84" s="1363"/>
      <c r="G84" s="1365"/>
      <c r="H84" s="1363"/>
      <c r="I84" s="1363"/>
      <c r="J84" s="1363"/>
      <c r="K84" s="1363"/>
      <c r="L84" s="1363"/>
      <c r="M84" s="1365"/>
      <c r="N84" s="1363"/>
      <c r="O84" s="1363"/>
      <c r="P84" s="1896"/>
    </row>
    <row r="85" spans="1:16" ht="17.25" customHeight="1" x14ac:dyDescent="0.3">
      <c r="A85" s="1907"/>
      <c r="B85" s="1039">
        <v>79</v>
      </c>
      <c r="C85" s="1890"/>
      <c r="D85" s="1364"/>
      <c r="E85" s="1362" t="s">
        <v>708</v>
      </c>
      <c r="F85" s="1362"/>
      <c r="G85" s="1364"/>
      <c r="H85" s="1362"/>
      <c r="I85" s="1362"/>
      <c r="J85" s="1362" t="s">
        <v>8</v>
      </c>
      <c r="K85" s="1362"/>
      <c r="L85" s="1362" t="s">
        <v>708</v>
      </c>
      <c r="M85" s="1364"/>
      <c r="N85" s="1362"/>
      <c r="O85" s="1362"/>
      <c r="P85" s="1894"/>
    </row>
    <row r="86" spans="1:16" ht="16.5" x14ac:dyDescent="0.3">
      <c r="A86" s="1907"/>
      <c r="B86" s="1039">
        <v>80</v>
      </c>
      <c r="C86" s="1891"/>
      <c r="D86" s="1365"/>
      <c r="E86" s="1363"/>
      <c r="F86" s="1363"/>
      <c r="G86" s="1365"/>
      <c r="H86" s="1363"/>
      <c r="I86" s="1363"/>
      <c r="J86" s="1363"/>
      <c r="K86" s="1363"/>
      <c r="L86" s="1363"/>
      <c r="M86" s="1365"/>
      <c r="N86" s="1363"/>
      <c r="O86" s="1363"/>
      <c r="P86" s="1896"/>
    </row>
    <row r="87" spans="1:16" x14ac:dyDescent="0.35">
      <c r="A87" s="1907"/>
      <c r="B87" s="1047">
        <v>81</v>
      </c>
      <c r="C87" s="23"/>
      <c r="D87" s="1364" t="s">
        <v>709</v>
      </c>
      <c r="E87" s="1362"/>
      <c r="F87" s="1362"/>
      <c r="G87" s="1364"/>
      <c r="H87" s="1362" t="s">
        <v>709</v>
      </c>
      <c r="I87" s="1362"/>
      <c r="J87" s="1362"/>
      <c r="K87" s="1362"/>
      <c r="L87" s="1362" t="s">
        <v>709</v>
      </c>
      <c r="M87" s="1364"/>
      <c r="N87" s="1362"/>
      <c r="O87" s="1362"/>
      <c r="P87" s="1894"/>
    </row>
    <row r="88" spans="1:16" x14ac:dyDescent="0.35">
      <c r="A88" s="1907"/>
      <c r="B88" s="1047">
        <v>82</v>
      </c>
      <c r="C88" s="23" t="s">
        <v>48</v>
      </c>
      <c r="D88" s="1365"/>
      <c r="E88" s="1363"/>
      <c r="F88" s="1363"/>
      <c r="G88" s="1365"/>
      <c r="H88" s="1363"/>
      <c r="I88" s="1363"/>
      <c r="J88" s="1363"/>
      <c r="K88" s="1363"/>
      <c r="L88" s="1363"/>
      <c r="M88" s="1365"/>
      <c r="N88" s="1363"/>
      <c r="O88" s="1363"/>
      <c r="P88" s="1896"/>
    </row>
    <row r="89" spans="1:16" ht="17.25" customHeight="1" x14ac:dyDescent="0.35">
      <c r="A89" s="1907"/>
      <c r="B89" s="1047">
        <v>83</v>
      </c>
      <c r="C89" s="23"/>
      <c r="D89" s="1084" t="s">
        <v>8</v>
      </c>
      <c r="E89" s="612"/>
      <c r="F89" s="612"/>
      <c r="G89" s="1040"/>
      <c r="H89" s="612"/>
      <c r="I89" s="612"/>
      <c r="J89" s="612"/>
      <c r="K89" s="612"/>
      <c r="L89" s="612"/>
      <c r="M89" s="612" t="s">
        <v>8</v>
      </c>
      <c r="N89" s="612"/>
      <c r="O89" s="612"/>
      <c r="P89" s="1041"/>
    </row>
    <row r="90" spans="1:16" x14ac:dyDescent="0.35">
      <c r="A90" s="1907"/>
      <c r="B90" s="1047">
        <v>84</v>
      </c>
      <c r="C90" s="23"/>
      <c r="D90" s="663" t="s">
        <v>8</v>
      </c>
      <c r="E90" s="612"/>
      <c r="F90" s="612"/>
      <c r="G90" s="1040"/>
      <c r="H90" s="612"/>
      <c r="I90" s="612"/>
      <c r="J90" s="612"/>
      <c r="K90" s="612"/>
      <c r="L90" s="612"/>
      <c r="M90" s="612" t="s">
        <v>8</v>
      </c>
      <c r="N90" s="612"/>
      <c r="O90" s="612"/>
      <c r="P90" s="1041"/>
    </row>
    <row r="91" spans="1:16" x14ac:dyDescent="0.35">
      <c r="A91" s="1907"/>
      <c r="B91" s="1047">
        <v>85</v>
      </c>
      <c r="C91" s="23"/>
      <c r="D91" s="1040"/>
      <c r="E91" s="612" t="s">
        <v>8</v>
      </c>
      <c r="F91" s="612"/>
      <c r="G91" s="1040"/>
      <c r="H91" s="612"/>
      <c r="I91" s="612"/>
      <c r="J91" s="612"/>
      <c r="K91" s="612"/>
      <c r="L91" s="612"/>
      <c r="M91" s="612" t="s">
        <v>8</v>
      </c>
      <c r="N91" s="612"/>
      <c r="O91" s="612"/>
      <c r="P91" s="1041"/>
    </row>
    <row r="92" spans="1:16" x14ac:dyDescent="0.35">
      <c r="A92" s="1908"/>
      <c r="B92" s="1047">
        <v>86</v>
      </c>
      <c r="C92" s="23"/>
      <c r="D92" s="1090" t="s">
        <v>8</v>
      </c>
      <c r="E92" s="612"/>
      <c r="F92" s="612"/>
      <c r="G92" s="1040"/>
      <c r="H92" s="612"/>
      <c r="I92" s="612"/>
      <c r="J92" s="612"/>
      <c r="K92" s="612"/>
      <c r="L92" s="612"/>
      <c r="M92" s="612" t="s">
        <v>8</v>
      </c>
      <c r="N92" s="612"/>
      <c r="O92" s="612"/>
      <c r="P92" s="1041"/>
    </row>
    <row r="93" spans="1:16" ht="17.25" customHeight="1" x14ac:dyDescent="0.3">
      <c r="A93" s="1903" t="s">
        <v>119</v>
      </c>
      <c r="B93" s="1048">
        <v>87</v>
      </c>
      <c r="C93" s="1043"/>
      <c r="D93" s="1022"/>
      <c r="E93" s="1024" t="s">
        <v>8</v>
      </c>
      <c r="F93" s="1024"/>
      <c r="G93" s="1022"/>
      <c r="H93" s="1024"/>
      <c r="I93" s="1024"/>
      <c r="J93" s="1024"/>
      <c r="K93" s="1024"/>
      <c r="L93" s="1022" t="s">
        <v>8</v>
      </c>
      <c r="M93" s="1022"/>
      <c r="N93" s="1024"/>
      <c r="O93" s="1024"/>
      <c r="P93" s="1044"/>
    </row>
    <row r="94" spans="1:16" ht="16.5" x14ac:dyDescent="0.3">
      <c r="A94" s="1904"/>
      <c r="B94" s="1048">
        <v>88</v>
      </c>
      <c r="C94" s="1024" t="s">
        <v>710</v>
      </c>
      <c r="D94" s="663" t="s">
        <v>8</v>
      </c>
      <c r="E94" s="1024"/>
      <c r="F94" s="1024"/>
      <c r="G94" s="1022"/>
      <c r="H94" s="1024"/>
      <c r="I94" s="1024"/>
      <c r="J94" s="1024"/>
      <c r="K94" s="1024"/>
      <c r="L94" s="1024" t="s">
        <v>8</v>
      </c>
      <c r="M94" s="1040"/>
      <c r="N94" s="1024"/>
      <c r="O94" s="1024"/>
      <c r="P94" s="1044"/>
    </row>
    <row r="95" spans="1:16" x14ac:dyDescent="0.35">
      <c r="A95" s="1904"/>
      <c r="B95" s="1047">
        <v>89</v>
      </c>
      <c r="C95" s="23" t="s">
        <v>711</v>
      </c>
      <c r="D95" s="1093" t="s">
        <v>8</v>
      </c>
      <c r="E95" s="612"/>
      <c r="F95" s="612"/>
      <c r="G95" s="1040"/>
      <c r="H95" s="612"/>
      <c r="I95" s="612"/>
      <c r="J95" s="612"/>
      <c r="K95" s="612"/>
      <c r="L95" s="612" t="s">
        <v>8</v>
      </c>
      <c r="M95" s="1049"/>
      <c r="N95" s="612"/>
      <c r="O95" s="612"/>
      <c r="P95" s="1041"/>
    </row>
    <row r="96" spans="1:16" x14ac:dyDescent="0.35">
      <c r="A96" s="1904"/>
      <c r="B96" s="1047">
        <v>90</v>
      </c>
      <c r="C96" s="23"/>
      <c r="D96" s="1086" t="s">
        <v>8</v>
      </c>
      <c r="E96" s="1040"/>
      <c r="F96" s="612"/>
      <c r="G96" s="1040"/>
      <c r="H96" s="612"/>
      <c r="I96" s="612"/>
      <c r="J96" s="612"/>
      <c r="K96" s="612"/>
      <c r="L96" s="612"/>
      <c r="M96" s="1040" t="s">
        <v>8</v>
      </c>
      <c r="N96" s="1040"/>
      <c r="O96" s="1040"/>
      <c r="P96" s="1050"/>
    </row>
    <row r="97" spans="1:16" x14ac:dyDescent="0.35">
      <c r="A97" s="1904"/>
      <c r="B97" s="1047">
        <v>91</v>
      </c>
      <c r="C97" s="23"/>
      <c r="D97" s="1086" t="s">
        <v>8</v>
      </c>
      <c r="E97" s="1040"/>
      <c r="F97" s="612"/>
      <c r="G97" s="1040"/>
      <c r="H97" s="612"/>
      <c r="I97" s="612"/>
      <c r="J97" s="612"/>
      <c r="K97" s="612"/>
      <c r="L97" s="612"/>
      <c r="M97" s="1040" t="s">
        <v>8</v>
      </c>
      <c r="N97" s="1040"/>
      <c r="O97" s="1040"/>
      <c r="P97" s="1050"/>
    </row>
    <row r="98" spans="1:16" x14ac:dyDescent="0.35">
      <c r="A98" s="1904"/>
      <c r="B98" s="1047">
        <v>92</v>
      </c>
      <c r="C98" s="23"/>
      <c r="D98" s="1086" t="s">
        <v>8</v>
      </c>
      <c r="E98" s="1040"/>
      <c r="F98" s="612"/>
      <c r="G98" s="1040"/>
      <c r="H98" s="612"/>
      <c r="I98" s="612"/>
      <c r="J98" s="612"/>
      <c r="K98" s="612"/>
      <c r="L98" s="612"/>
      <c r="M98" s="1040" t="s">
        <v>8</v>
      </c>
      <c r="N98" s="1040"/>
      <c r="O98" s="1040"/>
      <c r="P98" s="1050"/>
    </row>
    <row r="99" spans="1:16" x14ac:dyDescent="0.35">
      <c r="A99" s="1904"/>
      <c r="B99" s="1047">
        <v>93</v>
      </c>
      <c r="C99" s="23"/>
      <c r="D99" s="1086" t="s">
        <v>8</v>
      </c>
      <c r="E99" s="1040"/>
      <c r="F99" s="612"/>
      <c r="G99" s="1040"/>
      <c r="H99" s="612"/>
      <c r="I99" s="612"/>
      <c r="J99" s="612"/>
      <c r="K99" s="612"/>
      <c r="L99" s="612" t="s">
        <v>8</v>
      </c>
      <c r="M99" s="1040"/>
      <c r="N99" s="1040"/>
      <c r="O99" s="1040"/>
      <c r="P99" s="1050"/>
    </row>
    <row r="100" spans="1:16" ht="16.5" x14ac:dyDescent="0.3">
      <c r="A100" s="1904"/>
      <c r="B100" s="1048">
        <v>94</v>
      </c>
      <c r="C100" s="1043"/>
      <c r="D100" s="1086" t="s">
        <v>8</v>
      </c>
      <c r="E100" s="1022"/>
      <c r="F100" s="1024"/>
      <c r="G100" s="1022"/>
      <c r="H100" s="1024"/>
      <c r="I100" s="1024"/>
      <c r="J100" s="1024"/>
      <c r="K100" s="1024"/>
      <c r="L100" s="1024" t="s">
        <v>8</v>
      </c>
      <c r="M100" s="1022"/>
      <c r="N100" s="1022"/>
      <c r="O100" s="1022"/>
      <c r="P100" s="1051"/>
    </row>
    <row r="101" spans="1:16" x14ac:dyDescent="0.35">
      <c r="A101" s="1904"/>
      <c r="B101" s="1047">
        <v>95</v>
      </c>
      <c r="C101" s="23"/>
      <c r="D101" s="663" t="s">
        <v>8</v>
      </c>
      <c r="E101" s="1040"/>
      <c r="F101" s="612"/>
      <c r="G101" s="1040"/>
      <c r="H101" s="612"/>
      <c r="I101" s="612"/>
      <c r="J101" s="612"/>
      <c r="K101" s="612" t="s">
        <v>8</v>
      </c>
      <c r="L101" s="1024" t="s">
        <v>8</v>
      </c>
      <c r="M101" s="1040"/>
      <c r="N101" s="1040"/>
      <c r="O101" s="1040"/>
      <c r="P101" s="1050"/>
    </row>
    <row r="102" spans="1:16" ht="16.5" x14ac:dyDescent="0.3">
      <c r="A102" s="1904"/>
      <c r="B102" s="1048">
        <v>96</v>
      </c>
      <c r="C102" s="1043"/>
      <c r="D102" s="1022"/>
      <c r="E102" s="1022" t="s">
        <v>8</v>
      </c>
      <c r="F102" s="1024"/>
      <c r="G102" s="1022" t="s">
        <v>8</v>
      </c>
      <c r="H102" s="1024"/>
      <c r="I102" s="1024"/>
      <c r="J102" s="1024"/>
      <c r="K102" s="1024"/>
      <c r="L102" s="1024"/>
      <c r="M102" s="1022"/>
      <c r="N102" s="1022" t="s">
        <v>8</v>
      </c>
      <c r="O102" s="1022"/>
      <c r="P102" s="1051"/>
    </row>
    <row r="103" spans="1:16" ht="16.5" x14ac:dyDescent="0.3">
      <c r="A103" s="1904"/>
      <c r="B103" s="1048">
        <v>97</v>
      </c>
      <c r="C103" s="1043"/>
      <c r="D103" s="1022"/>
      <c r="E103" s="1022" t="s">
        <v>8</v>
      </c>
      <c r="F103" s="1024"/>
      <c r="G103" s="1022" t="s">
        <v>8</v>
      </c>
      <c r="H103" s="1024"/>
      <c r="I103" s="1024"/>
      <c r="J103" s="1024"/>
      <c r="K103" s="1024"/>
      <c r="L103" s="1024"/>
      <c r="M103" s="1022"/>
      <c r="N103" s="1022" t="s">
        <v>8</v>
      </c>
      <c r="O103" s="1022"/>
      <c r="P103" s="1051"/>
    </row>
    <row r="104" spans="1:16" ht="16.5" x14ac:dyDescent="0.3">
      <c r="A104" s="1904"/>
      <c r="B104" s="1048">
        <v>98</v>
      </c>
      <c r="C104" s="1024" t="s">
        <v>712</v>
      </c>
      <c r="D104" s="1085" t="s">
        <v>8</v>
      </c>
      <c r="E104" s="1024"/>
      <c r="F104" s="1024"/>
      <c r="G104" s="1022"/>
      <c r="H104" s="1024"/>
      <c r="I104" s="1024"/>
      <c r="J104" s="1024"/>
      <c r="K104" s="1024"/>
      <c r="L104" s="1024"/>
      <c r="M104" s="1022" t="s">
        <v>8</v>
      </c>
      <c r="N104" s="1024"/>
      <c r="O104" s="1024"/>
      <c r="P104" s="1044"/>
    </row>
    <row r="105" spans="1:16" ht="16.5" x14ac:dyDescent="0.3">
      <c r="A105" s="1904"/>
      <c r="B105" s="1048">
        <v>99</v>
      </c>
      <c r="C105" s="1043"/>
      <c r="D105" s="1022"/>
      <c r="E105" s="1024" t="s">
        <v>8</v>
      </c>
      <c r="F105" s="1024"/>
      <c r="G105" s="1022" t="s">
        <v>8</v>
      </c>
      <c r="H105" s="1024"/>
      <c r="I105" s="1024"/>
      <c r="J105" s="1024"/>
      <c r="K105" s="1024"/>
      <c r="L105" s="1024"/>
      <c r="M105" s="1022"/>
      <c r="N105" s="1024" t="s">
        <v>8</v>
      </c>
      <c r="O105" s="1024"/>
      <c r="P105" s="1044"/>
    </row>
    <row r="106" spans="1:16" x14ac:dyDescent="0.35">
      <c r="A106" s="1904"/>
      <c r="B106" s="1047">
        <v>100</v>
      </c>
      <c r="C106" s="23" t="s">
        <v>713</v>
      </c>
      <c r="D106" s="1040"/>
      <c r="E106" s="612" t="s">
        <v>8</v>
      </c>
      <c r="F106" s="612"/>
      <c r="G106" s="1040"/>
      <c r="H106" s="612"/>
      <c r="I106" s="612"/>
      <c r="J106" s="612"/>
      <c r="K106" s="612"/>
      <c r="L106" s="612" t="s">
        <v>8</v>
      </c>
      <c r="M106" s="1040"/>
      <c r="N106" s="612"/>
      <c r="O106" s="612"/>
      <c r="P106" s="1041"/>
    </row>
    <row r="107" spans="1:16" x14ac:dyDescent="0.35">
      <c r="A107" s="1904"/>
      <c r="B107" s="1047">
        <v>101</v>
      </c>
      <c r="C107" s="23"/>
      <c r="D107" s="1040"/>
      <c r="E107" s="612" t="s">
        <v>8</v>
      </c>
      <c r="F107" s="612"/>
      <c r="G107" s="1040"/>
      <c r="H107" s="612"/>
      <c r="I107" s="612"/>
      <c r="J107" s="612"/>
      <c r="K107" s="612"/>
      <c r="L107" s="612" t="s">
        <v>8</v>
      </c>
      <c r="M107" s="1040"/>
      <c r="N107" s="612"/>
      <c r="O107" s="612"/>
      <c r="P107" s="1041"/>
    </row>
    <row r="108" spans="1:16" ht="16.5" x14ac:dyDescent="0.3">
      <c r="A108" s="1904"/>
      <c r="B108" s="1048">
        <v>102</v>
      </c>
      <c r="C108" s="1043"/>
      <c r="D108" s="1022"/>
      <c r="E108" s="1024" t="s">
        <v>8</v>
      </c>
      <c r="F108" s="1024"/>
      <c r="G108" s="1022" t="s">
        <v>8</v>
      </c>
      <c r="H108" s="1024"/>
      <c r="I108" s="1024"/>
      <c r="J108" s="1024"/>
      <c r="K108" s="1024"/>
      <c r="L108" s="1024"/>
      <c r="M108" s="1022"/>
      <c r="N108" s="1024" t="s">
        <v>8</v>
      </c>
      <c r="O108" s="1024"/>
      <c r="P108" s="1044"/>
    </row>
    <row r="109" spans="1:16" x14ac:dyDescent="0.35">
      <c r="A109" s="1904"/>
      <c r="B109" s="1047">
        <v>103</v>
      </c>
      <c r="C109" s="23"/>
      <c r="D109" s="1022"/>
      <c r="E109" s="1024" t="s">
        <v>8</v>
      </c>
      <c r="F109" s="612"/>
      <c r="G109" s="1040"/>
      <c r="H109" s="612"/>
      <c r="I109" s="612"/>
      <c r="J109" s="612"/>
      <c r="K109" s="612"/>
      <c r="L109" s="612"/>
      <c r="M109" s="1040"/>
      <c r="N109" s="612" t="s">
        <v>8</v>
      </c>
      <c r="O109" s="612"/>
      <c r="P109" s="1041"/>
    </row>
    <row r="110" spans="1:16" x14ac:dyDescent="0.35">
      <c r="A110" s="1904"/>
      <c r="B110" s="1047">
        <v>104</v>
      </c>
      <c r="C110" s="23"/>
      <c r="D110" s="1040"/>
      <c r="E110" s="612" t="s">
        <v>8</v>
      </c>
      <c r="F110" s="612"/>
      <c r="G110" s="1040"/>
      <c r="H110" s="612"/>
      <c r="I110" s="612"/>
      <c r="J110" s="612"/>
      <c r="K110" s="612" t="s">
        <v>8</v>
      </c>
      <c r="L110" s="612"/>
      <c r="M110" s="1040"/>
      <c r="N110" s="612" t="s">
        <v>8</v>
      </c>
      <c r="O110" s="612"/>
      <c r="P110" s="1041"/>
    </row>
    <row r="111" spans="1:16" x14ac:dyDescent="0.35">
      <c r="A111" s="1904"/>
      <c r="B111" s="1048">
        <v>105</v>
      </c>
      <c r="C111" s="1024" t="s">
        <v>714</v>
      </c>
      <c r="D111" s="1092" t="s">
        <v>8</v>
      </c>
      <c r="E111" s="467"/>
      <c r="F111" s="1024"/>
      <c r="G111" s="1022"/>
      <c r="H111" s="1024"/>
      <c r="I111" s="1024"/>
      <c r="J111" s="1024"/>
      <c r="K111" s="1024"/>
      <c r="L111" s="1024" t="s">
        <v>8</v>
      </c>
      <c r="M111" s="1022"/>
      <c r="N111" s="1052"/>
      <c r="O111" s="1052"/>
      <c r="P111" s="1026"/>
    </row>
    <row r="112" spans="1:16" x14ac:dyDescent="0.35">
      <c r="A112" s="1904"/>
      <c r="B112" s="1047">
        <v>106</v>
      </c>
      <c r="C112" s="23"/>
      <c r="D112" s="1040"/>
      <c r="E112" s="612" t="s">
        <v>8</v>
      </c>
      <c r="F112" s="612"/>
      <c r="G112" s="1040" t="s">
        <v>8</v>
      </c>
      <c r="H112" s="612"/>
      <c r="I112" s="612"/>
      <c r="J112" s="612"/>
      <c r="K112" s="612" t="s">
        <v>8</v>
      </c>
      <c r="L112" s="612"/>
      <c r="M112" s="1040"/>
      <c r="N112" s="612" t="s">
        <v>8</v>
      </c>
      <c r="O112" s="612"/>
      <c r="P112" s="1041"/>
    </row>
    <row r="113" spans="1:16" x14ac:dyDescent="0.35">
      <c r="A113" s="1904"/>
      <c r="B113" s="1047">
        <v>107</v>
      </c>
      <c r="C113" s="23"/>
      <c r="D113" s="1085" t="s">
        <v>8</v>
      </c>
      <c r="E113" s="612"/>
      <c r="F113" s="612"/>
      <c r="G113" s="1040"/>
      <c r="H113" s="612"/>
      <c r="I113" s="612"/>
      <c r="J113" s="612"/>
      <c r="K113" s="612"/>
      <c r="L113" s="612" t="s">
        <v>8</v>
      </c>
      <c r="M113" s="1040"/>
      <c r="N113" s="612"/>
      <c r="O113" s="612"/>
      <c r="P113" s="1041"/>
    </row>
    <row r="114" spans="1:16" x14ac:dyDescent="0.35">
      <c r="A114" s="1904"/>
      <c r="B114" s="1047">
        <v>108</v>
      </c>
      <c r="C114" s="23" t="s">
        <v>715</v>
      </c>
      <c r="D114" s="1040"/>
      <c r="E114" s="612" t="s">
        <v>8</v>
      </c>
      <c r="F114" s="612"/>
      <c r="G114" s="1040"/>
      <c r="H114" s="612"/>
      <c r="I114" s="612"/>
      <c r="J114" s="612" t="s">
        <v>8</v>
      </c>
      <c r="K114" s="612"/>
      <c r="L114" s="612" t="s">
        <v>8</v>
      </c>
      <c r="M114" s="1040"/>
      <c r="N114" s="612"/>
      <c r="O114" s="612"/>
      <c r="P114" s="1041"/>
    </row>
    <row r="115" spans="1:16" x14ac:dyDescent="0.35">
      <c r="A115" s="1904"/>
      <c r="B115" s="1047">
        <v>109</v>
      </c>
      <c r="C115" s="23" t="s">
        <v>716</v>
      </c>
      <c r="D115" s="1040"/>
      <c r="E115" s="612" t="s">
        <v>8</v>
      </c>
      <c r="F115" s="612"/>
      <c r="G115" s="1040"/>
      <c r="H115" s="612"/>
      <c r="I115" s="612"/>
      <c r="J115" s="612" t="s">
        <v>8</v>
      </c>
      <c r="K115" s="612"/>
      <c r="L115" s="612" t="s">
        <v>8</v>
      </c>
      <c r="M115" s="1040"/>
      <c r="N115" s="612"/>
      <c r="O115" s="612"/>
      <c r="P115" s="1041"/>
    </row>
    <row r="116" spans="1:16" x14ac:dyDescent="0.35">
      <c r="A116" s="1904"/>
      <c r="B116" s="1047">
        <v>110</v>
      </c>
      <c r="C116" s="1024"/>
      <c r="D116" s="1087" t="s">
        <v>8</v>
      </c>
      <c r="E116" s="612"/>
      <c r="F116" s="612"/>
      <c r="G116" s="612"/>
      <c r="H116" s="612"/>
      <c r="I116" s="612"/>
      <c r="J116" s="612"/>
      <c r="K116" s="612"/>
      <c r="L116" s="612" t="s">
        <v>8</v>
      </c>
      <c r="M116" s="612"/>
      <c r="N116" s="612"/>
      <c r="O116" s="612"/>
      <c r="P116" s="1026"/>
    </row>
    <row r="117" spans="1:16" ht="16.5" x14ac:dyDescent="0.3">
      <c r="A117" s="1904"/>
      <c r="B117" s="1047">
        <v>111</v>
      </c>
      <c r="C117" s="1024"/>
      <c r="D117" s="1087" t="s">
        <v>8</v>
      </c>
      <c r="E117" s="612"/>
      <c r="F117" s="612"/>
      <c r="G117" s="612"/>
      <c r="H117" s="612"/>
      <c r="I117" s="612"/>
      <c r="J117" s="612"/>
      <c r="K117" s="612"/>
      <c r="L117" s="612" t="s">
        <v>8</v>
      </c>
      <c r="M117" s="612"/>
      <c r="N117" s="612"/>
      <c r="O117" s="612"/>
      <c r="P117" s="1041"/>
    </row>
    <row r="118" spans="1:16" ht="16.5" x14ac:dyDescent="0.3">
      <c r="A118" s="1904"/>
      <c r="B118" s="1047">
        <v>112</v>
      </c>
      <c r="C118" s="1024"/>
      <c r="D118" s="1088" t="s">
        <v>8</v>
      </c>
      <c r="E118" s="612"/>
      <c r="F118" s="612"/>
      <c r="G118" s="612"/>
      <c r="H118" s="612"/>
      <c r="I118" s="612"/>
      <c r="J118" s="612"/>
      <c r="K118" s="612"/>
      <c r="L118" s="612" t="s">
        <v>8</v>
      </c>
      <c r="M118" s="612"/>
      <c r="N118" s="612"/>
      <c r="O118" s="612"/>
      <c r="P118" s="1041"/>
    </row>
    <row r="119" spans="1:16" ht="16.5" x14ac:dyDescent="0.3">
      <c r="A119" s="1904"/>
      <c r="B119" s="1048">
        <v>113</v>
      </c>
      <c r="C119" s="1362" t="s">
        <v>717</v>
      </c>
      <c r="D119" s="1088" t="s">
        <v>8</v>
      </c>
      <c r="E119" s="612"/>
      <c r="F119" s="612"/>
      <c r="G119" s="612"/>
      <c r="H119" s="612"/>
      <c r="I119" s="612"/>
      <c r="J119" s="612"/>
      <c r="K119" s="612"/>
      <c r="L119" s="612" t="s">
        <v>8</v>
      </c>
      <c r="M119" s="612"/>
      <c r="N119" s="612"/>
      <c r="O119" s="612"/>
      <c r="P119" s="1041"/>
    </row>
    <row r="120" spans="1:16" ht="16.5" x14ac:dyDescent="0.3">
      <c r="A120" s="1904"/>
      <c r="B120" s="1047">
        <v>114</v>
      </c>
      <c r="C120" s="1386"/>
      <c r="D120" s="1088" t="s">
        <v>8</v>
      </c>
      <c r="E120" s="612"/>
      <c r="F120" s="612"/>
      <c r="G120" s="612"/>
      <c r="H120" s="612"/>
      <c r="I120" s="612"/>
      <c r="J120" s="612"/>
      <c r="K120" s="612"/>
      <c r="L120" s="612" t="s">
        <v>8</v>
      </c>
      <c r="M120" s="612"/>
      <c r="N120" s="612"/>
      <c r="O120" s="612"/>
      <c r="P120" s="1041"/>
    </row>
    <row r="121" spans="1:16" x14ac:dyDescent="0.35">
      <c r="A121" s="1909"/>
      <c r="B121" s="1047">
        <v>115</v>
      </c>
      <c r="C121" s="1363"/>
      <c r="D121" s="1088" t="s">
        <v>8</v>
      </c>
      <c r="E121" s="612"/>
      <c r="F121" s="612"/>
      <c r="G121" s="612"/>
      <c r="H121" s="612"/>
      <c r="I121" s="612"/>
      <c r="J121" s="612"/>
      <c r="K121" s="612"/>
      <c r="L121" s="612" t="s">
        <v>8</v>
      </c>
      <c r="M121" s="612"/>
      <c r="N121" s="612"/>
      <c r="O121" s="612"/>
      <c r="P121" s="1026"/>
    </row>
    <row r="122" spans="1:16" x14ac:dyDescent="0.35">
      <c r="A122" s="1916" t="s">
        <v>21</v>
      </c>
      <c r="B122" s="1047">
        <v>116</v>
      </c>
      <c r="C122" s="23"/>
      <c r="D122" s="1086" t="s">
        <v>8</v>
      </c>
      <c r="E122" s="612"/>
      <c r="F122" s="612"/>
      <c r="G122" s="1040"/>
      <c r="H122" s="612"/>
      <c r="I122" s="612" t="s">
        <v>8</v>
      </c>
      <c r="J122" s="612"/>
      <c r="K122" s="612"/>
      <c r="L122" s="612"/>
      <c r="M122" s="1040"/>
      <c r="N122" s="612" t="s">
        <v>8</v>
      </c>
      <c r="O122" s="612"/>
      <c r="P122" s="1041"/>
    </row>
    <row r="123" spans="1:16" ht="16.5" x14ac:dyDescent="0.3">
      <c r="A123" s="1907"/>
      <c r="B123" s="1048">
        <v>117</v>
      </c>
      <c r="C123" s="1043"/>
      <c r="D123" s="1022"/>
      <c r="E123" s="1024" t="s">
        <v>8</v>
      </c>
      <c r="F123" s="1024"/>
      <c r="G123" s="1022" t="s">
        <v>8</v>
      </c>
      <c r="H123" s="1024"/>
      <c r="I123" s="1024"/>
      <c r="J123" s="1024"/>
      <c r="K123" s="1024"/>
      <c r="L123" s="1024"/>
      <c r="M123" s="1022"/>
      <c r="N123" s="1024" t="s">
        <v>8</v>
      </c>
      <c r="O123" s="1024"/>
      <c r="P123" s="1041"/>
    </row>
    <row r="124" spans="1:16" x14ac:dyDescent="0.35">
      <c r="A124" s="1907"/>
      <c r="B124" s="1047">
        <v>118</v>
      </c>
      <c r="C124" s="23"/>
      <c r="D124" s="1040"/>
      <c r="E124" s="612" t="s">
        <v>8</v>
      </c>
      <c r="F124" s="612"/>
      <c r="G124" s="1040"/>
      <c r="H124" s="612"/>
      <c r="I124" s="612"/>
      <c r="J124" s="612"/>
      <c r="K124" s="612"/>
      <c r="L124" s="612" t="s">
        <v>8</v>
      </c>
      <c r="M124" s="1040"/>
      <c r="N124" s="612"/>
      <c r="O124" s="612"/>
      <c r="P124" s="1041"/>
    </row>
    <row r="125" spans="1:16" x14ac:dyDescent="0.35">
      <c r="A125" s="1907"/>
      <c r="B125" s="1047">
        <v>119</v>
      </c>
      <c r="C125" s="23"/>
      <c r="D125" s="1040"/>
      <c r="E125" s="612" t="s">
        <v>8</v>
      </c>
      <c r="F125" s="612"/>
      <c r="G125" s="1040"/>
      <c r="H125" s="612"/>
      <c r="I125" s="612"/>
      <c r="J125" s="612"/>
      <c r="K125" s="612"/>
      <c r="L125" s="612" t="s">
        <v>8</v>
      </c>
      <c r="M125" s="1040"/>
      <c r="N125" s="612"/>
      <c r="O125" s="612"/>
      <c r="P125" s="1041"/>
    </row>
    <row r="126" spans="1:16" ht="16.5" x14ac:dyDescent="0.3">
      <c r="A126" s="1907"/>
      <c r="B126" s="1048">
        <v>120</v>
      </c>
      <c r="C126" s="1043"/>
      <c r="D126" s="1022"/>
      <c r="E126" s="1024" t="s">
        <v>8</v>
      </c>
      <c r="F126" s="1024"/>
      <c r="G126" s="1022" t="s">
        <v>8</v>
      </c>
      <c r="H126" s="1024"/>
      <c r="I126" s="1024"/>
      <c r="J126" s="1024"/>
      <c r="K126" s="1024"/>
      <c r="L126" s="1024"/>
      <c r="M126" s="1022"/>
      <c r="N126" s="1024" t="s">
        <v>8</v>
      </c>
      <c r="O126" s="1024"/>
      <c r="P126" s="1044"/>
    </row>
    <row r="127" spans="1:16" x14ac:dyDescent="0.35">
      <c r="A127" s="1907"/>
      <c r="B127" s="1047">
        <v>121</v>
      </c>
      <c r="C127" s="23"/>
      <c r="D127" s="1040"/>
      <c r="E127" s="612" t="s">
        <v>8</v>
      </c>
      <c r="F127" s="612"/>
      <c r="G127" s="1040"/>
      <c r="H127" s="612"/>
      <c r="I127" s="612"/>
      <c r="J127" s="612"/>
      <c r="K127" s="612"/>
      <c r="L127" s="612" t="s">
        <v>8</v>
      </c>
      <c r="M127" s="1040"/>
      <c r="N127" s="612"/>
      <c r="O127" s="612"/>
      <c r="P127" s="1041"/>
    </row>
    <row r="128" spans="1:16" x14ac:dyDescent="0.35">
      <c r="A128" s="1907"/>
      <c r="B128" s="1047">
        <v>122</v>
      </c>
      <c r="C128" s="23"/>
      <c r="D128" s="1040"/>
      <c r="E128" s="612" t="s">
        <v>8</v>
      </c>
      <c r="F128" s="612"/>
      <c r="G128" s="1040"/>
      <c r="H128" s="612"/>
      <c r="I128" s="612"/>
      <c r="J128" s="612"/>
      <c r="K128" s="612"/>
      <c r="L128" s="612" t="s">
        <v>8</v>
      </c>
      <c r="M128" s="1040"/>
      <c r="N128" s="612"/>
      <c r="O128" s="612"/>
      <c r="P128" s="1041"/>
    </row>
    <row r="129" spans="1:16" x14ac:dyDescent="0.35">
      <c r="A129" s="1907"/>
      <c r="B129" s="1047">
        <v>123</v>
      </c>
      <c r="C129" s="23"/>
      <c r="D129" s="1040"/>
      <c r="E129" s="612" t="s">
        <v>8</v>
      </c>
      <c r="F129" s="612"/>
      <c r="G129" s="1040"/>
      <c r="H129" s="612"/>
      <c r="I129" s="612"/>
      <c r="J129" s="612"/>
      <c r="K129" s="612"/>
      <c r="L129" s="612" t="s">
        <v>8</v>
      </c>
      <c r="M129" s="1040"/>
      <c r="N129" s="612"/>
      <c r="O129" s="612"/>
      <c r="P129" s="1041"/>
    </row>
    <row r="130" spans="1:16" x14ac:dyDescent="0.35">
      <c r="A130" s="1907"/>
      <c r="B130" s="1047">
        <v>124</v>
      </c>
      <c r="C130" s="23"/>
      <c r="D130" s="1091" t="s">
        <v>8</v>
      </c>
      <c r="E130" s="612"/>
      <c r="F130" s="612"/>
      <c r="G130" s="1040"/>
      <c r="H130" s="612"/>
      <c r="I130" s="612"/>
      <c r="J130" s="612"/>
      <c r="K130" s="612"/>
      <c r="L130" s="612" t="s">
        <v>8</v>
      </c>
      <c r="M130" s="1040"/>
      <c r="N130" s="612"/>
      <c r="O130" s="612"/>
      <c r="P130" s="1041"/>
    </row>
    <row r="131" spans="1:16" x14ac:dyDescent="0.35">
      <c r="A131" s="1907"/>
      <c r="B131" s="1047">
        <v>125</v>
      </c>
      <c r="C131" s="23"/>
      <c r="D131" s="1084" t="s">
        <v>8</v>
      </c>
      <c r="E131" s="612"/>
      <c r="F131" s="612"/>
      <c r="G131" s="1040"/>
      <c r="H131" s="612"/>
      <c r="I131" s="612"/>
      <c r="J131" s="612"/>
      <c r="K131" s="612"/>
      <c r="L131" s="612" t="s">
        <v>8</v>
      </c>
      <c r="M131" s="1040"/>
      <c r="N131" s="612"/>
      <c r="O131" s="612"/>
      <c r="P131" s="1041"/>
    </row>
    <row r="132" spans="1:16" x14ac:dyDescent="0.35">
      <c r="A132" s="1907"/>
      <c r="B132" s="1047">
        <v>126</v>
      </c>
      <c r="C132" s="23"/>
      <c r="D132" s="1084" t="s">
        <v>8</v>
      </c>
      <c r="E132" s="612"/>
      <c r="F132" s="612"/>
      <c r="G132" s="1040"/>
      <c r="H132" s="612"/>
      <c r="I132" s="612"/>
      <c r="J132" s="612"/>
      <c r="K132" s="612"/>
      <c r="L132" s="612" t="s">
        <v>8</v>
      </c>
      <c r="M132" s="1040"/>
      <c r="N132" s="612"/>
      <c r="O132" s="612"/>
      <c r="P132" s="1041"/>
    </row>
    <row r="133" spans="1:16" x14ac:dyDescent="0.35">
      <c r="A133" s="1907"/>
      <c r="B133" s="1047">
        <v>127</v>
      </c>
      <c r="C133" s="23"/>
      <c r="D133" s="1084" t="s">
        <v>8</v>
      </c>
      <c r="E133" s="612"/>
      <c r="F133" s="612"/>
      <c r="G133" s="1040"/>
      <c r="H133" s="612"/>
      <c r="I133" s="612"/>
      <c r="J133" s="612"/>
      <c r="K133" s="612"/>
      <c r="L133" s="612" t="s">
        <v>8</v>
      </c>
      <c r="M133" s="1040"/>
      <c r="N133" s="612"/>
      <c r="O133" s="612"/>
      <c r="P133" s="1041"/>
    </row>
    <row r="134" spans="1:16" x14ac:dyDescent="0.35">
      <c r="A134" s="1907"/>
      <c r="B134" s="1047">
        <v>128</v>
      </c>
      <c r="C134" s="23"/>
      <c r="D134" s="1086" t="s">
        <v>8</v>
      </c>
      <c r="E134" s="612"/>
      <c r="F134" s="612"/>
      <c r="G134" s="1040"/>
      <c r="H134" s="612"/>
      <c r="I134" s="612"/>
      <c r="J134" s="612"/>
      <c r="K134" s="612"/>
      <c r="L134" s="612" t="s">
        <v>8</v>
      </c>
      <c r="M134" s="1040"/>
      <c r="N134" s="612"/>
      <c r="O134" s="612"/>
      <c r="P134" s="1041"/>
    </row>
    <row r="135" spans="1:16" x14ac:dyDescent="0.35">
      <c r="A135" s="1907"/>
      <c r="B135" s="1047">
        <v>129</v>
      </c>
      <c r="C135" s="23"/>
      <c r="D135" s="1040"/>
      <c r="E135" s="612" t="s">
        <v>8</v>
      </c>
      <c r="F135" s="612"/>
      <c r="G135" s="1040" t="s">
        <v>8</v>
      </c>
      <c r="H135" s="612"/>
      <c r="I135" s="612"/>
      <c r="J135" s="612"/>
      <c r="K135" s="612"/>
      <c r="L135" s="612"/>
      <c r="M135" s="1040"/>
      <c r="N135" s="612" t="s">
        <v>8</v>
      </c>
      <c r="O135" s="612"/>
      <c r="P135" s="1041"/>
    </row>
    <row r="136" spans="1:16" ht="16.5" x14ac:dyDescent="0.3">
      <c r="A136" s="1907"/>
      <c r="B136" s="1047">
        <v>130</v>
      </c>
      <c r="C136" s="1043"/>
      <c r="D136" s="1085" t="s">
        <v>8</v>
      </c>
      <c r="E136" s="1024"/>
      <c r="F136" s="1024"/>
      <c r="G136" s="1022"/>
      <c r="H136" s="1024"/>
      <c r="I136" s="1024" t="s">
        <v>8</v>
      </c>
      <c r="J136" s="1024"/>
      <c r="K136" s="1024"/>
      <c r="L136" s="1024"/>
      <c r="M136" s="1022"/>
      <c r="N136" s="1024" t="s">
        <v>8</v>
      </c>
      <c r="O136" s="1024"/>
      <c r="P136" s="1044"/>
    </row>
    <row r="137" spans="1:16" ht="16.5" x14ac:dyDescent="0.3">
      <c r="A137" s="1907"/>
      <c r="B137" s="1047">
        <v>131</v>
      </c>
      <c r="C137" s="1024" t="s">
        <v>718</v>
      </c>
      <c r="D137" s="1022"/>
      <c r="E137" s="1024" t="s">
        <v>8</v>
      </c>
      <c r="F137" s="1024"/>
      <c r="G137" s="1022"/>
      <c r="H137" s="1024"/>
      <c r="I137" s="1024"/>
      <c r="J137" s="1024"/>
      <c r="K137" s="1024" t="s">
        <v>8</v>
      </c>
      <c r="L137" s="1024"/>
      <c r="M137" s="1022"/>
      <c r="N137" s="1024" t="s">
        <v>8</v>
      </c>
      <c r="O137" s="1024"/>
      <c r="P137" s="1044"/>
    </row>
    <row r="138" spans="1:16" ht="16.5" x14ac:dyDescent="0.3">
      <c r="A138" s="1907"/>
      <c r="B138" s="1048">
        <v>132</v>
      </c>
      <c r="C138" s="1043"/>
      <c r="D138" s="1085" t="s">
        <v>8</v>
      </c>
      <c r="E138" s="1024"/>
      <c r="F138" s="1024"/>
      <c r="G138" s="1022" t="s">
        <v>8</v>
      </c>
      <c r="H138" s="1024"/>
      <c r="I138" s="1024"/>
      <c r="J138" s="1024"/>
      <c r="K138" s="1024"/>
      <c r="L138" s="1024"/>
      <c r="M138" s="1022"/>
      <c r="N138" s="1024" t="s">
        <v>8</v>
      </c>
      <c r="O138" s="1024"/>
      <c r="P138" s="1044"/>
    </row>
    <row r="139" spans="1:16" x14ac:dyDescent="0.35">
      <c r="A139" s="1907"/>
      <c r="B139" s="1047">
        <v>133</v>
      </c>
      <c r="C139" s="23"/>
      <c r="D139" s="1090" t="s">
        <v>8</v>
      </c>
      <c r="E139" s="612"/>
      <c r="F139" s="612"/>
      <c r="G139" s="1040"/>
      <c r="H139" s="612"/>
      <c r="I139" s="612"/>
      <c r="J139" s="612"/>
      <c r="K139" s="612"/>
      <c r="L139" s="612"/>
      <c r="M139" s="1040" t="s">
        <v>8</v>
      </c>
      <c r="N139" s="612"/>
      <c r="O139" s="612"/>
      <c r="P139" s="1041"/>
    </row>
    <row r="140" spans="1:16" x14ac:dyDescent="0.35">
      <c r="A140" s="1907"/>
      <c r="B140" s="1047">
        <v>134</v>
      </c>
      <c r="C140" s="23"/>
      <c r="D140" s="663" t="s">
        <v>8</v>
      </c>
      <c r="E140" s="612"/>
      <c r="F140" s="612"/>
      <c r="G140" s="1040"/>
      <c r="H140" s="612"/>
      <c r="I140" s="612"/>
      <c r="J140" s="612"/>
      <c r="K140" s="612"/>
      <c r="L140" s="612" t="s">
        <v>8</v>
      </c>
      <c r="M140" s="1040"/>
      <c r="N140" s="612"/>
      <c r="O140" s="612"/>
      <c r="P140" s="1041"/>
    </row>
    <row r="141" spans="1:16" ht="16.5" x14ac:dyDescent="0.3">
      <c r="A141" s="1907"/>
      <c r="B141" s="1048">
        <v>135</v>
      </c>
      <c r="C141" s="1024"/>
      <c r="D141" s="1085" t="s">
        <v>8</v>
      </c>
      <c r="E141" s="1024"/>
      <c r="F141" s="1024"/>
      <c r="G141" s="1022"/>
      <c r="H141" s="1024"/>
      <c r="I141" s="1024"/>
      <c r="J141" s="1024"/>
      <c r="K141" s="1024"/>
      <c r="L141" s="1024" t="s">
        <v>8</v>
      </c>
      <c r="M141" s="1022"/>
      <c r="N141" s="1024"/>
      <c r="O141" s="1024"/>
      <c r="P141" s="1044"/>
    </row>
    <row r="142" spans="1:16" x14ac:dyDescent="0.35">
      <c r="A142" s="1907"/>
      <c r="B142" s="1047">
        <v>136</v>
      </c>
      <c r="C142" s="23"/>
      <c r="D142" s="1091" t="s">
        <v>8</v>
      </c>
      <c r="E142" s="612"/>
      <c r="F142" s="612"/>
      <c r="G142" s="1040"/>
      <c r="H142" s="612"/>
      <c r="I142" s="612"/>
      <c r="J142" s="612"/>
      <c r="K142" s="612"/>
      <c r="L142" s="612" t="s">
        <v>8</v>
      </c>
      <c r="M142" s="1040"/>
      <c r="N142" s="612"/>
      <c r="O142" s="612"/>
      <c r="P142" s="1041"/>
    </row>
    <row r="143" spans="1:16" x14ac:dyDescent="0.35">
      <c r="A143" s="1907"/>
      <c r="B143" s="1047">
        <v>137</v>
      </c>
      <c r="C143" s="23"/>
      <c r="D143" s="663" t="s">
        <v>8</v>
      </c>
      <c r="E143" s="612"/>
      <c r="F143" s="612"/>
      <c r="G143" s="1040"/>
      <c r="H143" s="612"/>
      <c r="I143" s="612"/>
      <c r="J143" s="612"/>
      <c r="K143" s="612"/>
      <c r="L143" s="612" t="s">
        <v>8</v>
      </c>
      <c r="M143" s="1040"/>
      <c r="N143" s="612"/>
      <c r="O143" s="612"/>
      <c r="P143" s="1041"/>
    </row>
    <row r="144" spans="1:16" ht="17.25" customHeight="1" x14ac:dyDescent="0.3">
      <c r="A144" s="1907"/>
      <c r="B144" s="1047">
        <v>138</v>
      </c>
      <c r="C144" s="1362" t="s">
        <v>719</v>
      </c>
      <c r="D144" s="1892" t="s">
        <v>8</v>
      </c>
      <c r="E144" s="1362"/>
      <c r="F144" s="1362"/>
      <c r="G144" s="1364"/>
      <c r="H144" s="1362"/>
      <c r="I144" s="1362"/>
      <c r="J144" s="1362" t="s">
        <v>8</v>
      </c>
      <c r="K144" s="1362"/>
      <c r="L144" s="1362" t="s">
        <v>8</v>
      </c>
      <c r="M144" s="1364"/>
      <c r="N144" s="1362"/>
      <c r="O144" s="1362"/>
      <c r="P144" s="1894"/>
    </row>
    <row r="145" spans="1:16" ht="16.5" customHeight="1" x14ac:dyDescent="0.3">
      <c r="A145" s="1907"/>
      <c r="B145" s="1047">
        <v>139</v>
      </c>
      <c r="C145" s="1363"/>
      <c r="D145" s="1893"/>
      <c r="E145" s="1363"/>
      <c r="F145" s="1363"/>
      <c r="G145" s="1365"/>
      <c r="H145" s="1363"/>
      <c r="I145" s="1363"/>
      <c r="J145" s="1363"/>
      <c r="K145" s="1363"/>
      <c r="L145" s="1363"/>
      <c r="M145" s="1365"/>
      <c r="N145" s="1363"/>
      <c r="O145" s="1363"/>
      <c r="P145" s="1896"/>
    </row>
    <row r="146" spans="1:16" x14ac:dyDescent="0.35">
      <c r="A146" s="1907"/>
      <c r="B146" s="1047">
        <v>140</v>
      </c>
      <c r="C146" s="23"/>
      <c r="D146" s="1090" t="s">
        <v>8</v>
      </c>
      <c r="E146" s="612"/>
      <c r="F146" s="612"/>
      <c r="G146" s="1040"/>
      <c r="H146" s="612"/>
      <c r="I146" s="612"/>
      <c r="J146" s="612"/>
      <c r="L146" s="612"/>
      <c r="M146" s="1040" t="s">
        <v>8</v>
      </c>
      <c r="N146" s="612"/>
      <c r="O146" s="612"/>
      <c r="P146" s="1041"/>
    </row>
    <row r="147" spans="1:16" x14ac:dyDescent="0.35">
      <c r="A147" s="1907"/>
      <c r="B147" s="1039">
        <v>141</v>
      </c>
      <c r="C147" s="23" t="s">
        <v>720</v>
      </c>
      <c r="D147" s="1090" t="s">
        <v>8</v>
      </c>
      <c r="E147" s="612"/>
      <c r="F147" s="612"/>
      <c r="G147" s="1040"/>
      <c r="H147" s="612"/>
      <c r="I147" s="612"/>
      <c r="J147" s="612"/>
      <c r="K147" s="612" t="s">
        <v>8</v>
      </c>
      <c r="L147" s="612"/>
      <c r="M147" s="1040" t="s">
        <v>8</v>
      </c>
      <c r="N147" s="612"/>
      <c r="O147" s="612"/>
      <c r="P147" s="1041"/>
    </row>
    <row r="148" spans="1:16" x14ac:dyDescent="0.35">
      <c r="A148" s="1908"/>
      <c r="B148" s="1053">
        <v>142</v>
      </c>
      <c r="C148" s="23" t="s">
        <v>721</v>
      </c>
      <c r="D148" s="1089" t="s">
        <v>8</v>
      </c>
      <c r="E148" s="1055"/>
      <c r="F148" s="1055"/>
      <c r="G148" s="1054"/>
      <c r="H148" s="1055"/>
      <c r="I148" s="1055"/>
      <c r="J148" s="1055"/>
      <c r="K148" s="1055" t="s">
        <v>8</v>
      </c>
      <c r="L148" s="1055"/>
      <c r="M148" s="1054" t="s">
        <v>8</v>
      </c>
      <c r="N148" s="1055"/>
      <c r="O148" s="1055"/>
      <c r="P148" s="1056"/>
    </row>
    <row r="149" spans="1:16" ht="17.25" customHeight="1" x14ac:dyDescent="0.3">
      <c r="A149" s="1916" t="s">
        <v>120</v>
      </c>
      <c r="B149" s="1057">
        <v>143</v>
      </c>
      <c r="C149" s="1362" t="s">
        <v>722</v>
      </c>
      <c r="D149" s="1089" t="s">
        <v>8</v>
      </c>
      <c r="E149" s="752"/>
      <c r="F149" s="752"/>
      <c r="G149" s="1023"/>
      <c r="H149" s="752"/>
      <c r="I149" s="752"/>
      <c r="J149" s="752"/>
      <c r="K149" s="752"/>
      <c r="L149" s="752"/>
      <c r="M149" s="1023"/>
      <c r="N149" s="752" t="s">
        <v>8</v>
      </c>
      <c r="O149" s="752"/>
      <c r="P149" s="1045"/>
    </row>
    <row r="150" spans="1:16" ht="16.5" x14ac:dyDescent="0.3">
      <c r="A150" s="1907"/>
      <c r="B150" s="1047">
        <v>144</v>
      </c>
      <c r="C150" s="1386"/>
      <c r="D150" s="1362" t="s">
        <v>723</v>
      </c>
      <c r="E150" s="1362"/>
      <c r="F150" s="1362"/>
      <c r="G150" s="1364"/>
      <c r="H150" s="1362"/>
      <c r="I150" s="1362"/>
      <c r="J150" s="1362"/>
      <c r="K150" s="1362"/>
      <c r="L150" s="1362"/>
      <c r="M150" s="1362" t="s">
        <v>723</v>
      </c>
      <c r="N150" s="1362" t="s">
        <v>723</v>
      </c>
      <c r="O150" s="1362"/>
      <c r="P150" s="1894"/>
    </row>
    <row r="151" spans="1:16" ht="16.5" x14ac:dyDescent="0.3">
      <c r="A151" s="1907"/>
      <c r="B151" s="1047">
        <v>145</v>
      </c>
      <c r="C151" s="1386"/>
      <c r="D151" s="1386"/>
      <c r="E151" s="1386"/>
      <c r="F151" s="1386"/>
      <c r="G151" s="1387"/>
      <c r="H151" s="1386"/>
      <c r="I151" s="1386"/>
      <c r="J151" s="1386"/>
      <c r="K151" s="1386"/>
      <c r="L151" s="1386"/>
      <c r="M151" s="1386"/>
      <c r="N151" s="1386"/>
      <c r="O151" s="1386"/>
      <c r="P151" s="1895"/>
    </row>
    <row r="152" spans="1:16" ht="16.5" x14ac:dyDescent="0.3">
      <c r="A152" s="1907"/>
      <c r="B152" s="1047">
        <v>146</v>
      </c>
      <c r="C152" s="1386"/>
      <c r="D152" s="1386"/>
      <c r="E152" s="1386"/>
      <c r="F152" s="1386"/>
      <c r="G152" s="1387"/>
      <c r="H152" s="1386"/>
      <c r="I152" s="1386"/>
      <c r="J152" s="1386"/>
      <c r="K152" s="1386"/>
      <c r="L152" s="1386"/>
      <c r="M152" s="1386"/>
      <c r="N152" s="1386"/>
      <c r="O152" s="1386"/>
      <c r="P152" s="1895"/>
    </row>
    <row r="153" spans="1:16" ht="16.5" x14ac:dyDescent="0.3">
      <c r="A153" s="1907"/>
      <c r="B153" s="1047">
        <v>147</v>
      </c>
      <c r="C153" s="1386"/>
      <c r="D153" s="1386"/>
      <c r="E153" s="1386"/>
      <c r="F153" s="1386"/>
      <c r="G153" s="1387"/>
      <c r="H153" s="1386"/>
      <c r="I153" s="1386"/>
      <c r="J153" s="1386"/>
      <c r="K153" s="1386"/>
      <c r="L153" s="1386"/>
      <c r="M153" s="1386"/>
      <c r="N153" s="1386"/>
      <c r="O153" s="1386"/>
      <c r="P153" s="1895"/>
    </row>
    <row r="154" spans="1:16" ht="16.5" x14ac:dyDescent="0.3">
      <c r="A154" s="1907"/>
      <c r="B154" s="1047">
        <v>148</v>
      </c>
      <c r="C154" s="1386"/>
      <c r="D154" s="1363"/>
      <c r="E154" s="1363"/>
      <c r="F154" s="1363"/>
      <c r="G154" s="1365"/>
      <c r="H154" s="1363"/>
      <c r="I154" s="1363"/>
      <c r="J154" s="1363"/>
      <c r="K154" s="1363"/>
      <c r="L154" s="1363"/>
      <c r="M154" s="1363"/>
      <c r="N154" s="1363"/>
      <c r="O154" s="1363"/>
      <c r="P154" s="1896"/>
    </row>
    <row r="155" spans="1:16" ht="16.5" x14ac:dyDescent="0.3">
      <c r="A155" s="1907"/>
      <c r="B155" s="1047">
        <v>149</v>
      </c>
      <c r="C155" s="1386"/>
      <c r="D155" s="1022" t="s">
        <v>724</v>
      </c>
      <c r="E155" s="1040"/>
      <c r="F155" s="612"/>
      <c r="G155" s="1040"/>
      <c r="H155" s="1040"/>
      <c r="I155" s="612"/>
      <c r="J155" s="612"/>
      <c r="K155" s="1022" t="s">
        <v>724</v>
      </c>
      <c r="L155" s="1040"/>
      <c r="M155" s="1040"/>
      <c r="N155" s="1040" t="s">
        <v>724</v>
      </c>
      <c r="O155" s="1040"/>
      <c r="P155" s="1050"/>
    </row>
    <row r="156" spans="1:16" ht="17.25" customHeight="1" x14ac:dyDescent="0.3">
      <c r="A156" s="1907"/>
      <c r="B156" s="1047">
        <v>150</v>
      </c>
      <c r="C156" s="1386"/>
      <c r="D156" s="1362" t="s">
        <v>723</v>
      </c>
      <c r="E156" s="1362"/>
      <c r="F156" s="1362"/>
      <c r="G156" s="1364"/>
      <c r="H156" s="1362"/>
      <c r="I156" s="1362"/>
      <c r="J156" s="1362"/>
      <c r="K156" s="1362"/>
      <c r="L156" s="1362"/>
      <c r="M156" s="1362" t="s">
        <v>723</v>
      </c>
      <c r="N156" s="1362" t="s">
        <v>723</v>
      </c>
      <c r="O156" s="1362"/>
      <c r="P156" s="1894"/>
    </row>
    <row r="157" spans="1:16" ht="16.5" x14ac:dyDescent="0.3">
      <c r="A157" s="1907"/>
      <c r="B157" s="1047">
        <v>151</v>
      </c>
      <c r="C157" s="1386"/>
      <c r="D157" s="1386"/>
      <c r="E157" s="1386"/>
      <c r="F157" s="1386"/>
      <c r="G157" s="1387"/>
      <c r="H157" s="1386"/>
      <c r="I157" s="1386"/>
      <c r="J157" s="1386"/>
      <c r="K157" s="1386"/>
      <c r="L157" s="1386"/>
      <c r="M157" s="1386"/>
      <c r="N157" s="1386"/>
      <c r="O157" s="1386"/>
      <c r="P157" s="1895"/>
    </row>
    <row r="158" spans="1:16" ht="16.5" x14ac:dyDescent="0.3">
      <c r="A158" s="1907"/>
      <c r="B158" s="1047">
        <v>152</v>
      </c>
      <c r="C158" s="1386"/>
      <c r="D158" s="1386"/>
      <c r="E158" s="1386"/>
      <c r="F158" s="1386"/>
      <c r="G158" s="1387"/>
      <c r="H158" s="1386"/>
      <c r="I158" s="1386"/>
      <c r="J158" s="1386"/>
      <c r="K158" s="1386"/>
      <c r="L158" s="1386"/>
      <c r="M158" s="1386"/>
      <c r="N158" s="1386"/>
      <c r="O158" s="1386"/>
      <c r="P158" s="1895"/>
    </row>
    <row r="159" spans="1:16" ht="16.5" x14ac:dyDescent="0.3">
      <c r="A159" s="1907"/>
      <c r="B159" s="1047">
        <v>153</v>
      </c>
      <c r="C159" s="1386"/>
      <c r="D159" s="1386"/>
      <c r="E159" s="1386"/>
      <c r="F159" s="1386"/>
      <c r="G159" s="1387"/>
      <c r="H159" s="1386"/>
      <c r="I159" s="1386"/>
      <c r="J159" s="1386"/>
      <c r="K159" s="1386"/>
      <c r="L159" s="1386"/>
      <c r="M159" s="1386"/>
      <c r="N159" s="1386"/>
      <c r="O159" s="1386"/>
      <c r="P159" s="1895"/>
    </row>
    <row r="160" spans="1:16" ht="16.5" x14ac:dyDescent="0.3">
      <c r="A160" s="1907"/>
      <c r="B160" s="1047">
        <v>154</v>
      </c>
      <c r="C160" s="1386"/>
      <c r="D160" s="1386"/>
      <c r="E160" s="1386"/>
      <c r="F160" s="1386"/>
      <c r="G160" s="1387"/>
      <c r="H160" s="1386"/>
      <c r="I160" s="1386"/>
      <c r="J160" s="1386"/>
      <c r="K160" s="1386"/>
      <c r="L160" s="1386"/>
      <c r="M160" s="1386"/>
      <c r="N160" s="1386"/>
      <c r="O160" s="1386"/>
      <c r="P160" s="1895"/>
    </row>
    <row r="161" spans="1:16" ht="16.5" x14ac:dyDescent="0.3">
      <c r="A161" s="1907"/>
      <c r="B161" s="1047">
        <v>155</v>
      </c>
      <c r="C161" s="1363"/>
      <c r="D161" s="1363"/>
      <c r="E161" s="1363"/>
      <c r="F161" s="1363"/>
      <c r="G161" s="1365"/>
      <c r="H161" s="1363"/>
      <c r="I161" s="1363"/>
      <c r="J161" s="1363"/>
      <c r="K161" s="1363"/>
      <c r="L161" s="1363"/>
      <c r="M161" s="1363"/>
      <c r="N161" s="1363"/>
      <c r="O161" s="1363"/>
      <c r="P161" s="1896"/>
    </row>
    <row r="162" spans="1:16" x14ac:dyDescent="0.35">
      <c r="A162" s="1907"/>
      <c r="B162" s="1047">
        <v>156</v>
      </c>
      <c r="C162" s="23"/>
      <c r="D162" s="1085" t="s">
        <v>8</v>
      </c>
      <c r="E162" s="612"/>
      <c r="F162" s="612"/>
      <c r="G162" s="1040"/>
      <c r="H162" s="612" t="s">
        <v>8</v>
      </c>
      <c r="I162" s="612"/>
      <c r="J162" s="612"/>
      <c r="K162" s="612" t="s">
        <v>8</v>
      </c>
      <c r="L162" s="612"/>
      <c r="M162" s="1040" t="s">
        <v>8</v>
      </c>
      <c r="N162" s="612"/>
      <c r="O162" s="612"/>
      <c r="P162" s="1041"/>
    </row>
    <row r="163" spans="1:16" ht="17.25" customHeight="1" x14ac:dyDescent="0.3">
      <c r="A163" s="1907"/>
      <c r="B163" s="1047">
        <v>157</v>
      </c>
      <c r="C163" s="1890"/>
      <c r="D163" s="1892" t="s">
        <v>8</v>
      </c>
      <c r="E163" s="1362"/>
      <c r="F163" s="1362"/>
      <c r="G163" s="1364"/>
      <c r="H163" s="1362"/>
      <c r="I163" s="1362"/>
      <c r="J163" s="1362"/>
      <c r="K163" s="1362" t="s">
        <v>8</v>
      </c>
      <c r="L163" s="1362"/>
      <c r="M163" s="1364" t="s">
        <v>8</v>
      </c>
      <c r="N163" s="1362"/>
      <c r="O163" s="1362"/>
      <c r="P163" s="1894"/>
    </row>
    <row r="164" spans="1:16" ht="16.5" x14ac:dyDescent="0.3">
      <c r="A164" s="1907"/>
      <c r="B164" s="1047">
        <v>158</v>
      </c>
      <c r="C164" s="1891"/>
      <c r="D164" s="1893"/>
      <c r="E164" s="1363"/>
      <c r="F164" s="1363"/>
      <c r="G164" s="1365"/>
      <c r="H164" s="1363"/>
      <c r="I164" s="1363"/>
      <c r="J164" s="1363"/>
      <c r="K164" s="1363"/>
      <c r="L164" s="1363"/>
      <c r="M164" s="1365"/>
      <c r="N164" s="1363"/>
      <c r="O164" s="1363"/>
      <c r="P164" s="1896"/>
    </row>
    <row r="165" spans="1:16" ht="17.25" customHeight="1" x14ac:dyDescent="0.3">
      <c r="A165" s="1907"/>
      <c r="B165" s="1047">
        <v>159</v>
      </c>
      <c r="C165" s="1890"/>
      <c r="D165" s="1364"/>
      <c r="E165" s="1362" t="s">
        <v>8</v>
      </c>
      <c r="F165" s="1362"/>
      <c r="G165" s="1364"/>
      <c r="H165" s="1362"/>
      <c r="I165" s="1362"/>
      <c r="J165" s="1362"/>
      <c r="K165" s="1362" t="s">
        <v>8</v>
      </c>
      <c r="L165" s="1362" t="s">
        <v>8</v>
      </c>
      <c r="M165" s="1364"/>
      <c r="N165" s="1362"/>
      <c r="O165" s="1362"/>
      <c r="P165" s="1894"/>
    </row>
    <row r="166" spans="1:16" ht="16.5" x14ac:dyDescent="0.3">
      <c r="A166" s="1907"/>
      <c r="B166" s="1047">
        <v>160</v>
      </c>
      <c r="C166" s="1891"/>
      <c r="D166" s="1365"/>
      <c r="E166" s="1363"/>
      <c r="F166" s="1363"/>
      <c r="G166" s="1365"/>
      <c r="H166" s="1363"/>
      <c r="I166" s="1363"/>
      <c r="J166" s="1363"/>
      <c r="K166" s="1363"/>
      <c r="L166" s="1363"/>
      <c r="M166" s="1365"/>
      <c r="N166" s="1363"/>
      <c r="O166" s="1363"/>
      <c r="P166" s="1896"/>
    </row>
    <row r="167" spans="1:16" x14ac:dyDescent="0.35">
      <c r="A167" s="1907"/>
      <c r="B167" s="1047">
        <v>161</v>
      </c>
      <c r="C167" s="23"/>
      <c r="D167" s="1040"/>
      <c r="E167" s="612" t="s">
        <v>8</v>
      </c>
      <c r="F167" s="612"/>
      <c r="G167" s="1040"/>
      <c r="H167" s="612"/>
      <c r="I167" s="612"/>
      <c r="J167" s="612"/>
      <c r="K167" s="612"/>
      <c r="L167" s="612" t="s">
        <v>8</v>
      </c>
      <c r="M167" s="1040"/>
      <c r="N167" s="612"/>
      <c r="O167" s="612"/>
      <c r="P167" s="1041"/>
    </row>
    <row r="168" spans="1:16" x14ac:dyDescent="0.35">
      <c r="A168" s="1907"/>
      <c r="B168" s="1047">
        <v>162</v>
      </c>
      <c r="C168" s="23"/>
      <c r="D168" s="1040"/>
      <c r="E168" s="612" t="s">
        <v>8</v>
      </c>
      <c r="F168" s="612"/>
      <c r="G168" s="1040"/>
      <c r="H168" s="612"/>
      <c r="I168" s="612"/>
      <c r="J168" s="612"/>
      <c r="K168" s="612"/>
      <c r="L168" s="612" t="s">
        <v>8</v>
      </c>
      <c r="M168" s="1040"/>
      <c r="N168" s="612"/>
      <c r="O168" s="612"/>
      <c r="P168" s="1041"/>
    </row>
    <row r="169" spans="1:16" ht="17.25" customHeight="1" x14ac:dyDescent="0.3">
      <c r="A169" s="1908"/>
      <c r="B169" s="1047">
        <v>163</v>
      </c>
      <c r="C169" s="1362" t="s">
        <v>725</v>
      </c>
      <c r="D169" s="1364"/>
      <c r="E169" s="1362"/>
      <c r="F169" s="1362" t="s">
        <v>8</v>
      </c>
      <c r="G169" s="1364"/>
      <c r="H169" s="1362" t="s">
        <v>8</v>
      </c>
      <c r="I169" s="1362"/>
      <c r="J169" s="1362"/>
      <c r="K169" s="1362" t="s">
        <v>8</v>
      </c>
      <c r="L169" s="1362"/>
      <c r="M169" s="1364" t="s">
        <v>8</v>
      </c>
      <c r="N169" s="1362"/>
      <c r="O169" s="1362"/>
      <c r="P169" s="1894"/>
    </row>
    <row r="170" spans="1:16" ht="16.5" x14ac:dyDescent="0.3">
      <c r="A170" s="1907" t="s">
        <v>26</v>
      </c>
      <c r="B170" s="1047">
        <v>164</v>
      </c>
      <c r="C170" s="1363"/>
      <c r="D170" s="1365"/>
      <c r="E170" s="1363"/>
      <c r="F170" s="1363"/>
      <c r="G170" s="1365"/>
      <c r="H170" s="1363"/>
      <c r="I170" s="1363"/>
      <c r="J170" s="1363"/>
      <c r="K170" s="1363"/>
      <c r="L170" s="1363"/>
      <c r="M170" s="1365"/>
      <c r="N170" s="1363"/>
      <c r="O170" s="1363"/>
      <c r="P170" s="1896"/>
    </row>
    <row r="171" spans="1:16" ht="16.5" x14ac:dyDescent="0.3">
      <c r="A171" s="1907"/>
      <c r="B171" s="1047">
        <v>165</v>
      </c>
      <c r="C171" s="1362" t="s">
        <v>726</v>
      </c>
      <c r="D171" s="663" t="s">
        <v>8</v>
      </c>
      <c r="E171" s="612"/>
      <c r="F171" s="612"/>
      <c r="G171" s="1040"/>
      <c r="H171" s="612"/>
      <c r="I171" s="612"/>
      <c r="J171" s="612"/>
      <c r="K171" s="612"/>
      <c r="L171" s="612"/>
      <c r="M171" s="1040" t="s">
        <v>8</v>
      </c>
      <c r="N171" s="612"/>
      <c r="O171" s="612"/>
      <c r="P171" s="1041"/>
    </row>
    <row r="172" spans="1:16" ht="16.5" x14ac:dyDescent="0.3">
      <c r="A172" s="1907"/>
      <c r="B172" s="1047">
        <v>166</v>
      </c>
      <c r="C172" s="1386"/>
      <c r="D172" s="1040"/>
      <c r="E172" s="612" t="s">
        <v>8</v>
      </c>
      <c r="F172" s="612"/>
      <c r="G172" s="1040"/>
      <c r="H172" s="612"/>
      <c r="I172" s="612"/>
      <c r="J172" s="612" t="s">
        <v>8</v>
      </c>
      <c r="K172" s="612"/>
      <c r="L172" s="612" t="s">
        <v>8</v>
      </c>
      <c r="M172" s="1040"/>
      <c r="N172" s="612"/>
      <c r="O172" s="612"/>
      <c r="P172" s="1041"/>
    </row>
    <row r="173" spans="1:16" ht="16.5" x14ac:dyDescent="0.3">
      <c r="A173" s="1907"/>
      <c r="B173" s="1047">
        <v>167</v>
      </c>
      <c r="C173" s="1386"/>
      <c r="D173" s="612" t="s">
        <v>727</v>
      </c>
      <c r="E173" s="612"/>
      <c r="F173" s="612"/>
      <c r="G173" s="1040"/>
      <c r="H173" s="612"/>
      <c r="I173" s="612"/>
      <c r="J173" s="612"/>
      <c r="K173" s="612"/>
      <c r="L173" s="612"/>
      <c r="M173" s="612" t="s">
        <v>727</v>
      </c>
      <c r="N173" s="612"/>
      <c r="O173" s="612"/>
      <c r="P173" s="1041"/>
    </row>
    <row r="174" spans="1:16" ht="16.5" x14ac:dyDescent="0.3">
      <c r="A174" s="1907"/>
      <c r="B174" s="1047">
        <v>168</v>
      </c>
      <c r="C174" s="1386"/>
      <c r="D174" s="1040"/>
      <c r="E174" s="612" t="s">
        <v>728</v>
      </c>
      <c r="F174" s="612"/>
      <c r="G174" s="1040"/>
      <c r="H174" s="612"/>
      <c r="I174" s="612"/>
      <c r="J174" s="612" t="s">
        <v>728</v>
      </c>
      <c r="K174" s="612"/>
      <c r="L174" s="612" t="s">
        <v>728</v>
      </c>
      <c r="M174" s="1040"/>
      <c r="N174" s="612"/>
      <c r="O174" s="612"/>
      <c r="P174" s="1041"/>
    </row>
    <row r="175" spans="1:16" ht="16.5" x14ac:dyDescent="0.3">
      <c r="A175" s="1907"/>
      <c r="B175" s="1047">
        <v>169</v>
      </c>
      <c r="C175" s="1386"/>
      <c r="D175" s="612" t="s">
        <v>727</v>
      </c>
      <c r="E175" s="612"/>
      <c r="F175" s="612"/>
      <c r="G175" s="1040"/>
      <c r="H175" s="612"/>
      <c r="I175" s="612"/>
      <c r="J175" s="612"/>
      <c r="K175" s="612"/>
      <c r="L175" s="612"/>
      <c r="M175" s="612" t="s">
        <v>727</v>
      </c>
      <c r="N175" s="612"/>
      <c r="O175" s="612"/>
      <c r="P175" s="1041"/>
    </row>
    <row r="176" spans="1:16" ht="16.5" x14ac:dyDescent="0.3">
      <c r="A176" s="1907"/>
      <c r="B176" s="1047">
        <v>170</v>
      </c>
      <c r="C176" s="1386"/>
      <c r="D176" s="1040"/>
      <c r="E176" s="612" t="s">
        <v>728</v>
      </c>
      <c r="F176" s="612"/>
      <c r="G176" s="1040"/>
      <c r="H176" s="612"/>
      <c r="I176" s="612"/>
      <c r="J176" s="612" t="s">
        <v>728</v>
      </c>
      <c r="K176" s="612"/>
      <c r="L176" s="612" t="s">
        <v>728</v>
      </c>
      <c r="M176" s="1040"/>
      <c r="N176" s="612"/>
      <c r="O176" s="612"/>
      <c r="P176" s="1041"/>
    </row>
    <row r="177" spans="1:16" ht="16.5" x14ac:dyDescent="0.3">
      <c r="A177" s="1907"/>
      <c r="B177" s="1047">
        <v>171</v>
      </c>
      <c r="C177" s="1386"/>
      <c r="D177" s="612" t="s">
        <v>727</v>
      </c>
      <c r="E177" s="612"/>
      <c r="F177" s="612"/>
      <c r="G177" s="1040"/>
      <c r="H177" s="612"/>
      <c r="I177" s="612"/>
      <c r="J177" s="612"/>
      <c r="K177" s="612"/>
      <c r="L177" s="612"/>
      <c r="M177" s="612" t="s">
        <v>727</v>
      </c>
      <c r="N177" s="612"/>
      <c r="O177" s="612"/>
      <c r="P177" s="1041"/>
    </row>
    <row r="178" spans="1:16" ht="16.5" x14ac:dyDescent="0.3">
      <c r="A178" s="1907"/>
      <c r="B178" s="1047">
        <v>172</v>
      </c>
      <c r="C178" s="1386"/>
      <c r="D178" s="1040"/>
      <c r="E178" s="612" t="s">
        <v>728</v>
      </c>
      <c r="F178" s="612"/>
      <c r="G178" s="1040"/>
      <c r="H178" s="612"/>
      <c r="I178" s="612"/>
      <c r="J178" s="612" t="s">
        <v>728</v>
      </c>
      <c r="K178" s="612"/>
      <c r="L178" s="612" t="s">
        <v>728</v>
      </c>
      <c r="M178" s="1040"/>
      <c r="N178" s="612"/>
      <c r="O178" s="612"/>
      <c r="P178" s="1041"/>
    </row>
    <row r="179" spans="1:16" ht="16.5" x14ac:dyDescent="0.3">
      <c r="A179" s="1907"/>
      <c r="B179" s="1047">
        <v>173</v>
      </c>
      <c r="C179" s="1363"/>
      <c r="D179" s="1023"/>
      <c r="E179" s="612" t="s">
        <v>728</v>
      </c>
      <c r="F179" s="612"/>
      <c r="G179" s="1040"/>
      <c r="H179" s="612"/>
      <c r="I179" s="612"/>
      <c r="J179" s="612" t="s">
        <v>728</v>
      </c>
      <c r="K179" s="612"/>
      <c r="L179" s="612" t="s">
        <v>728</v>
      </c>
      <c r="M179" s="612"/>
      <c r="N179" s="752"/>
      <c r="O179" s="752"/>
      <c r="P179" s="1045"/>
    </row>
    <row r="180" spans="1:16" ht="17.25" customHeight="1" x14ac:dyDescent="0.3">
      <c r="A180" s="1907"/>
      <c r="B180" s="1047">
        <v>174</v>
      </c>
      <c r="C180" s="1890"/>
      <c r="D180" s="1892" t="s">
        <v>8</v>
      </c>
      <c r="E180" s="1362"/>
      <c r="F180" s="1362"/>
      <c r="G180" s="1364"/>
      <c r="H180" s="1362"/>
      <c r="I180" s="1362" t="s">
        <v>8</v>
      </c>
      <c r="J180" s="1362"/>
      <c r="K180" s="1362"/>
      <c r="L180" s="1362"/>
      <c r="M180" s="1364" t="s">
        <v>8</v>
      </c>
      <c r="N180" s="1362"/>
      <c r="O180" s="1362"/>
      <c r="P180" s="1894"/>
    </row>
    <row r="181" spans="1:16" ht="16.5" x14ac:dyDescent="0.3">
      <c r="A181" s="1907"/>
      <c r="B181" s="1047">
        <v>175</v>
      </c>
      <c r="C181" s="1891"/>
      <c r="D181" s="1893"/>
      <c r="E181" s="1363"/>
      <c r="F181" s="1363"/>
      <c r="G181" s="1365"/>
      <c r="H181" s="1363"/>
      <c r="I181" s="1363"/>
      <c r="J181" s="1363"/>
      <c r="K181" s="1363"/>
      <c r="L181" s="1363"/>
      <c r="M181" s="1365"/>
      <c r="N181" s="1363"/>
      <c r="O181" s="1363"/>
      <c r="P181" s="1896"/>
    </row>
    <row r="182" spans="1:16" x14ac:dyDescent="0.35">
      <c r="A182" s="1907"/>
      <c r="B182" s="1047">
        <v>176</v>
      </c>
      <c r="C182" s="23"/>
      <c r="D182" s="1040"/>
      <c r="E182" s="612" t="s">
        <v>8</v>
      </c>
      <c r="F182" s="612"/>
      <c r="G182" s="1040"/>
      <c r="H182" s="612" t="s">
        <v>8</v>
      </c>
      <c r="I182" s="612"/>
      <c r="J182" s="612"/>
      <c r="K182" s="612"/>
      <c r="L182" s="612"/>
      <c r="M182" s="1040"/>
      <c r="N182" s="612" t="s">
        <v>8</v>
      </c>
      <c r="O182" s="612"/>
      <c r="P182" s="1041"/>
    </row>
    <row r="183" spans="1:16" x14ac:dyDescent="0.35">
      <c r="A183" s="1907"/>
      <c r="B183" s="1047">
        <v>177</v>
      </c>
      <c r="C183" s="23"/>
      <c r="D183" s="1040" t="s">
        <v>729</v>
      </c>
      <c r="E183" s="612"/>
      <c r="F183" s="612"/>
      <c r="G183" s="1040"/>
      <c r="H183" s="612"/>
      <c r="I183" s="1040" t="s">
        <v>729</v>
      </c>
      <c r="J183" s="612"/>
      <c r="K183" s="612"/>
      <c r="L183" s="1040"/>
      <c r="M183" s="1040" t="s">
        <v>729</v>
      </c>
      <c r="N183" s="612"/>
      <c r="O183" s="612"/>
      <c r="P183" s="1041"/>
    </row>
    <row r="184" spans="1:16" x14ac:dyDescent="0.35">
      <c r="A184" s="1907"/>
      <c r="B184" s="1047">
        <v>178</v>
      </c>
      <c r="C184" s="23"/>
      <c r="D184" s="1040"/>
      <c r="E184" s="612" t="s">
        <v>730</v>
      </c>
      <c r="F184" s="612"/>
      <c r="G184" s="1040"/>
      <c r="H184" s="612" t="s">
        <v>730</v>
      </c>
      <c r="I184" s="612"/>
      <c r="J184" s="612"/>
      <c r="K184" s="612"/>
      <c r="L184" s="612"/>
      <c r="M184" s="1040"/>
      <c r="N184" s="612" t="s">
        <v>730</v>
      </c>
      <c r="O184" s="612"/>
      <c r="P184" s="1041"/>
    </row>
    <row r="185" spans="1:16" x14ac:dyDescent="0.35">
      <c r="A185" s="1907"/>
      <c r="B185" s="1047">
        <v>179</v>
      </c>
      <c r="C185" s="23"/>
      <c r="D185" s="1040" t="s">
        <v>729</v>
      </c>
      <c r="E185" s="612"/>
      <c r="F185" s="612"/>
      <c r="G185" s="1040"/>
      <c r="H185" s="612"/>
      <c r="I185" s="1040" t="s">
        <v>729</v>
      </c>
      <c r="J185" s="612"/>
      <c r="K185" s="612"/>
      <c r="L185" s="1040"/>
      <c r="M185" s="1040" t="s">
        <v>729</v>
      </c>
      <c r="N185" s="612"/>
      <c r="O185" s="612"/>
      <c r="P185" s="1041"/>
    </row>
    <row r="186" spans="1:16" ht="17.25" customHeight="1" x14ac:dyDescent="0.3">
      <c r="A186" s="1907"/>
      <c r="B186" s="1047">
        <v>180</v>
      </c>
      <c r="C186" s="1890"/>
      <c r="D186" s="1913" t="s">
        <v>730</v>
      </c>
      <c r="E186" s="1362"/>
      <c r="F186" s="1362"/>
      <c r="G186" s="1364"/>
      <c r="H186" s="1362"/>
      <c r="I186" s="1362"/>
      <c r="J186" s="1362"/>
      <c r="K186" s="1362"/>
      <c r="L186" s="1362"/>
      <c r="M186" s="1364"/>
      <c r="N186" s="1362" t="s">
        <v>730</v>
      </c>
      <c r="O186" s="1362"/>
      <c r="P186" s="1894"/>
    </row>
    <row r="187" spans="1:16" ht="16.5" x14ac:dyDescent="0.3">
      <c r="A187" s="1907"/>
      <c r="B187" s="1047">
        <v>181</v>
      </c>
      <c r="C187" s="1891"/>
      <c r="D187" s="1914"/>
      <c r="E187" s="1386"/>
      <c r="F187" s="1386"/>
      <c r="G187" s="1387"/>
      <c r="H187" s="1386"/>
      <c r="I187" s="1386"/>
      <c r="J187" s="1386"/>
      <c r="K187" s="1386"/>
      <c r="L187" s="1386"/>
      <c r="M187" s="1387"/>
      <c r="N187" s="1386"/>
      <c r="O187" s="1386"/>
      <c r="P187" s="1895"/>
    </row>
    <row r="188" spans="1:16" x14ac:dyDescent="0.35">
      <c r="A188" s="1907"/>
      <c r="B188" s="1047">
        <v>182</v>
      </c>
      <c r="C188" s="23" t="s">
        <v>731</v>
      </c>
      <c r="D188" s="1915"/>
      <c r="E188" s="1363"/>
      <c r="F188" s="1363"/>
      <c r="G188" s="1365"/>
      <c r="H188" s="1363"/>
      <c r="I188" s="1363"/>
      <c r="J188" s="1363"/>
      <c r="K188" s="1363"/>
      <c r="L188" s="1363"/>
      <c r="M188" s="1365"/>
      <c r="N188" s="1363"/>
      <c r="O188" s="1363"/>
      <c r="P188" s="1896"/>
    </row>
    <row r="189" spans="1:16" ht="17.25" customHeight="1" x14ac:dyDescent="0.35">
      <c r="A189" s="1907"/>
      <c r="B189" s="1047">
        <v>183</v>
      </c>
      <c r="C189" s="23"/>
      <c r="D189" s="1086" t="s">
        <v>8</v>
      </c>
      <c r="E189" s="612"/>
      <c r="F189" s="612"/>
      <c r="G189" s="1040"/>
      <c r="H189" s="612"/>
      <c r="I189" s="612"/>
      <c r="J189" s="612"/>
      <c r="K189" s="612"/>
      <c r="L189" s="612"/>
      <c r="M189" s="1040" t="s">
        <v>8</v>
      </c>
      <c r="N189" s="612"/>
      <c r="O189" s="612"/>
      <c r="P189" s="1041"/>
    </row>
    <row r="190" spans="1:16" ht="16.5" x14ac:dyDescent="0.3">
      <c r="A190" s="1907"/>
      <c r="B190" s="1047">
        <v>184</v>
      </c>
      <c r="C190" s="1362" t="s">
        <v>732</v>
      </c>
      <c r="D190" s="1910" t="s">
        <v>8</v>
      </c>
      <c r="E190" s="1362"/>
      <c r="F190" s="1362"/>
      <c r="G190" s="1364"/>
      <c r="H190" s="1362"/>
      <c r="I190" s="1362"/>
      <c r="J190" s="1362" t="s">
        <v>8</v>
      </c>
      <c r="K190" s="1362"/>
      <c r="L190" s="1362" t="s">
        <v>8</v>
      </c>
      <c r="M190" s="1364"/>
      <c r="N190" s="1362"/>
      <c r="O190" s="1362" t="s">
        <v>8</v>
      </c>
      <c r="P190" s="1900"/>
    </row>
    <row r="191" spans="1:16" ht="16.5" x14ac:dyDescent="0.3">
      <c r="A191" s="1907"/>
      <c r="B191" s="1047">
        <v>185</v>
      </c>
      <c r="C191" s="1386"/>
      <c r="D191" s="1911"/>
      <c r="E191" s="1386"/>
      <c r="F191" s="1386"/>
      <c r="G191" s="1387"/>
      <c r="H191" s="1386"/>
      <c r="I191" s="1386"/>
      <c r="J191" s="1386"/>
      <c r="K191" s="1386"/>
      <c r="L191" s="1386"/>
      <c r="M191" s="1387"/>
      <c r="N191" s="1386"/>
      <c r="O191" s="1386"/>
      <c r="P191" s="1901"/>
    </row>
    <row r="192" spans="1:16" ht="16.5" x14ac:dyDescent="0.3">
      <c r="A192" s="1907"/>
      <c r="B192" s="1047">
        <v>186</v>
      </c>
      <c r="C192" s="1386"/>
      <c r="D192" s="1912"/>
      <c r="E192" s="1363"/>
      <c r="F192" s="1363"/>
      <c r="G192" s="1365"/>
      <c r="H192" s="1363"/>
      <c r="I192" s="1363"/>
      <c r="J192" s="1363"/>
      <c r="K192" s="1363"/>
      <c r="L192" s="1363"/>
      <c r="M192" s="1365"/>
      <c r="N192" s="1363"/>
      <c r="O192" s="1363"/>
      <c r="P192" s="1902"/>
    </row>
    <row r="193" spans="1:16" ht="16.5" x14ac:dyDescent="0.3">
      <c r="A193" s="1907"/>
      <c r="B193" s="1047">
        <v>187</v>
      </c>
      <c r="C193" s="1386"/>
      <c r="D193" s="1088" t="s">
        <v>8</v>
      </c>
      <c r="E193" s="612"/>
      <c r="F193" s="612"/>
      <c r="G193" s="1040"/>
      <c r="H193" s="1087" t="s">
        <v>8</v>
      </c>
      <c r="I193" s="612"/>
      <c r="J193" s="612"/>
      <c r="K193" s="612"/>
      <c r="L193" s="612"/>
      <c r="M193" s="1040"/>
      <c r="N193" s="612" t="s">
        <v>8</v>
      </c>
      <c r="O193" s="612"/>
      <c r="P193" s="1041"/>
    </row>
    <row r="194" spans="1:16" ht="16.5" x14ac:dyDescent="0.3">
      <c r="A194" s="1907"/>
      <c r="B194" s="1047">
        <v>188</v>
      </c>
      <c r="C194" s="1386"/>
      <c r="D194" s="1087" t="s">
        <v>8</v>
      </c>
      <c r="E194" s="612"/>
      <c r="F194" s="612"/>
      <c r="G194" s="1040"/>
      <c r="H194" s="612"/>
      <c r="I194" s="612"/>
      <c r="J194" s="612"/>
      <c r="K194" s="612"/>
      <c r="L194" s="612"/>
      <c r="M194" s="1040"/>
      <c r="N194" s="612" t="s">
        <v>8</v>
      </c>
      <c r="O194" s="612"/>
      <c r="P194" s="1041"/>
    </row>
    <row r="195" spans="1:16" ht="16.5" x14ac:dyDescent="0.3">
      <c r="A195" s="1907"/>
      <c r="B195" s="1047">
        <v>189</v>
      </c>
      <c r="C195" s="1386"/>
      <c r="D195" s="1362"/>
      <c r="E195" s="1362" t="s">
        <v>8</v>
      </c>
      <c r="F195" s="1362"/>
      <c r="G195" s="1362"/>
      <c r="H195" s="1362"/>
      <c r="I195" s="1362"/>
      <c r="J195" s="1362"/>
      <c r="K195" s="1362"/>
      <c r="L195" s="1362"/>
      <c r="M195" s="1362" t="s">
        <v>8</v>
      </c>
      <c r="N195" s="1362"/>
      <c r="O195" s="1362"/>
      <c r="P195" s="1900"/>
    </row>
    <row r="196" spans="1:16" ht="16.5" x14ac:dyDescent="0.3">
      <c r="A196" s="1907"/>
      <c r="B196" s="1047">
        <v>190</v>
      </c>
      <c r="C196" s="1386"/>
      <c r="D196" s="1386"/>
      <c r="E196" s="1386"/>
      <c r="F196" s="1386"/>
      <c r="G196" s="1386"/>
      <c r="H196" s="1386"/>
      <c r="I196" s="1386"/>
      <c r="J196" s="1386"/>
      <c r="K196" s="1386"/>
      <c r="L196" s="1386"/>
      <c r="M196" s="1386"/>
      <c r="N196" s="1386"/>
      <c r="O196" s="1386"/>
      <c r="P196" s="1901"/>
    </row>
    <row r="197" spans="1:16" ht="16.5" x14ac:dyDescent="0.3">
      <c r="A197" s="1907"/>
      <c r="B197" s="1047">
        <v>191</v>
      </c>
      <c r="C197" s="1386"/>
      <c r="D197" s="1386"/>
      <c r="E197" s="1386"/>
      <c r="F197" s="1386"/>
      <c r="G197" s="1386"/>
      <c r="H197" s="1386"/>
      <c r="I197" s="1386"/>
      <c r="J197" s="1386"/>
      <c r="K197" s="1386"/>
      <c r="L197" s="1386"/>
      <c r="M197" s="1386"/>
      <c r="N197" s="1386"/>
      <c r="O197" s="1386"/>
      <c r="P197" s="1901"/>
    </row>
    <row r="198" spans="1:16" ht="16.5" x14ac:dyDescent="0.3">
      <c r="A198" s="1907"/>
      <c r="B198" s="1047">
        <v>192</v>
      </c>
      <c r="C198" s="1386"/>
      <c r="D198" s="1386"/>
      <c r="E198" s="1386"/>
      <c r="F198" s="1386"/>
      <c r="G198" s="1386"/>
      <c r="H198" s="1386"/>
      <c r="I198" s="1386"/>
      <c r="J198" s="1386"/>
      <c r="K198" s="1386"/>
      <c r="L198" s="1386"/>
      <c r="M198" s="1386"/>
      <c r="N198" s="1386"/>
      <c r="O198" s="1386"/>
      <c r="P198" s="1901"/>
    </row>
    <row r="199" spans="1:16" ht="16.5" x14ac:dyDescent="0.3">
      <c r="A199" s="1907"/>
      <c r="B199" s="1047">
        <v>193</v>
      </c>
      <c r="C199" s="1386"/>
      <c r="D199" s="1363"/>
      <c r="E199" s="1363"/>
      <c r="F199" s="1363"/>
      <c r="G199" s="1363"/>
      <c r="H199" s="1363"/>
      <c r="I199" s="1363"/>
      <c r="J199" s="1363"/>
      <c r="K199" s="1363"/>
      <c r="L199" s="1363"/>
      <c r="M199" s="1363"/>
      <c r="N199" s="1363"/>
      <c r="O199" s="1363"/>
      <c r="P199" s="1902"/>
    </row>
    <row r="200" spans="1:16" ht="16.5" x14ac:dyDescent="0.3">
      <c r="A200" s="1907"/>
      <c r="B200" s="1047">
        <v>194</v>
      </c>
      <c r="C200" s="1386"/>
      <c r="D200" s="1023" t="s">
        <v>733</v>
      </c>
      <c r="E200" s="752"/>
      <c r="F200" s="752"/>
      <c r="G200" s="1040"/>
      <c r="H200" s="612"/>
      <c r="I200" s="612"/>
      <c r="J200" s="612"/>
      <c r="K200" s="612"/>
      <c r="L200" s="752"/>
      <c r="M200" s="1023" t="s">
        <v>733</v>
      </c>
      <c r="N200" s="752"/>
      <c r="O200" s="752"/>
      <c r="P200" s="1045"/>
    </row>
    <row r="201" spans="1:16" ht="16.5" x14ac:dyDescent="0.3">
      <c r="A201" s="1907"/>
      <c r="B201" s="1047">
        <v>195</v>
      </c>
      <c r="C201" s="1386"/>
      <c r="D201" s="1362" t="s">
        <v>734</v>
      </c>
      <c r="E201" s="1362"/>
      <c r="F201" s="1362"/>
      <c r="G201" s="1362"/>
      <c r="H201" s="1362"/>
      <c r="I201" s="1362"/>
      <c r="J201" s="1362" t="s">
        <v>734</v>
      </c>
      <c r="K201" s="1362"/>
      <c r="L201" s="1362"/>
      <c r="M201" s="1364"/>
      <c r="N201" s="1362"/>
      <c r="O201" s="1362" t="s">
        <v>734</v>
      </c>
      <c r="P201" s="1900"/>
    </row>
    <row r="202" spans="1:16" ht="16.5" x14ac:dyDescent="0.3">
      <c r="A202" s="1907"/>
      <c r="B202" s="1047">
        <v>196</v>
      </c>
      <c r="C202" s="1386"/>
      <c r="D202" s="1386"/>
      <c r="E202" s="1386"/>
      <c r="F202" s="1386"/>
      <c r="G202" s="1386"/>
      <c r="H202" s="1386"/>
      <c r="I202" s="1386"/>
      <c r="J202" s="1386"/>
      <c r="K202" s="1386"/>
      <c r="L202" s="1386"/>
      <c r="M202" s="1387"/>
      <c r="N202" s="1386"/>
      <c r="O202" s="1386"/>
      <c r="P202" s="1901"/>
    </row>
    <row r="203" spans="1:16" ht="16.5" x14ac:dyDescent="0.3">
      <c r="A203" s="1907"/>
      <c r="B203" s="1047">
        <v>197</v>
      </c>
      <c r="C203" s="1386"/>
      <c r="D203" s="1363"/>
      <c r="E203" s="1363"/>
      <c r="F203" s="1363"/>
      <c r="G203" s="1363"/>
      <c r="H203" s="1363"/>
      <c r="I203" s="1363"/>
      <c r="J203" s="1363"/>
      <c r="K203" s="1363"/>
      <c r="L203" s="1363"/>
      <c r="M203" s="1365"/>
      <c r="N203" s="1363"/>
      <c r="O203" s="1363"/>
      <c r="P203" s="1902"/>
    </row>
    <row r="204" spans="1:16" ht="16.5" x14ac:dyDescent="0.3">
      <c r="A204" s="1907"/>
      <c r="B204" s="1047">
        <v>198</v>
      </c>
      <c r="C204" s="1386"/>
      <c r="D204" s="612" t="s">
        <v>735</v>
      </c>
      <c r="E204" s="612"/>
      <c r="F204" s="612"/>
      <c r="G204" s="1040"/>
      <c r="H204" s="612"/>
      <c r="I204" s="612" t="s">
        <v>735</v>
      </c>
      <c r="J204" s="612"/>
      <c r="K204" s="612"/>
      <c r="L204" s="612"/>
      <c r="M204" s="1040"/>
      <c r="N204" s="612" t="s">
        <v>735</v>
      </c>
      <c r="O204" s="612"/>
      <c r="P204" s="1041"/>
    </row>
    <row r="205" spans="1:16" ht="16.5" x14ac:dyDescent="0.3">
      <c r="A205" s="1907"/>
      <c r="B205" s="1047">
        <v>199</v>
      </c>
      <c r="C205" s="1386"/>
      <c r="D205" s="612" t="s">
        <v>736</v>
      </c>
      <c r="E205" s="612"/>
      <c r="F205" s="612"/>
      <c r="G205" s="1040"/>
      <c r="H205" s="612"/>
      <c r="I205" s="612"/>
      <c r="J205" s="612"/>
      <c r="K205" s="612"/>
      <c r="L205" s="612"/>
      <c r="M205" s="1040"/>
      <c r="N205" s="612" t="s">
        <v>736</v>
      </c>
      <c r="O205" s="612"/>
      <c r="P205" s="1041"/>
    </row>
    <row r="206" spans="1:16" ht="16.5" x14ac:dyDescent="0.3">
      <c r="A206" s="1907"/>
      <c r="B206" s="1047">
        <v>200</v>
      </c>
      <c r="C206" s="1386"/>
      <c r="D206" s="1362"/>
      <c r="E206" s="1362" t="s">
        <v>737</v>
      </c>
      <c r="F206" s="1362"/>
      <c r="G206" s="1362"/>
      <c r="H206" s="1362"/>
      <c r="I206" s="1362"/>
      <c r="J206" s="1362"/>
      <c r="K206" s="1362"/>
      <c r="L206" s="1362"/>
      <c r="M206" s="1362" t="s">
        <v>737</v>
      </c>
      <c r="N206" s="1362"/>
      <c r="O206" s="1362"/>
      <c r="P206" s="1900"/>
    </row>
    <row r="207" spans="1:16" ht="16.5" x14ac:dyDescent="0.3">
      <c r="A207" s="1907"/>
      <c r="B207" s="1047">
        <v>201</v>
      </c>
      <c r="C207" s="1386"/>
      <c r="D207" s="1386"/>
      <c r="E207" s="1386"/>
      <c r="F207" s="1386"/>
      <c r="G207" s="1386"/>
      <c r="H207" s="1386"/>
      <c r="I207" s="1386"/>
      <c r="J207" s="1386"/>
      <c r="K207" s="1386"/>
      <c r="L207" s="1386"/>
      <c r="M207" s="1386"/>
      <c r="N207" s="1386"/>
      <c r="O207" s="1386"/>
      <c r="P207" s="1901"/>
    </row>
    <row r="208" spans="1:16" ht="16.5" x14ac:dyDescent="0.3">
      <c r="A208" s="1907"/>
      <c r="B208" s="1047">
        <v>202</v>
      </c>
      <c r="C208" s="1386"/>
      <c r="D208" s="1386"/>
      <c r="E208" s="1386"/>
      <c r="F208" s="1386"/>
      <c r="G208" s="1386"/>
      <c r="H208" s="1386"/>
      <c r="I208" s="1386"/>
      <c r="J208" s="1386"/>
      <c r="K208" s="1386"/>
      <c r="L208" s="1386"/>
      <c r="M208" s="1386"/>
      <c r="N208" s="1386"/>
      <c r="O208" s="1386"/>
      <c r="P208" s="1901"/>
    </row>
    <row r="209" spans="1:16" ht="16.5" x14ac:dyDescent="0.3">
      <c r="A209" s="1907"/>
      <c r="B209" s="1047">
        <v>203</v>
      </c>
      <c r="C209" s="1386"/>
      <c r="D209" s="1386"/>
      <c r="E209" s="1386"/>
      <c r="F209" s="1386"/>
      <c r="G209" s="1386"/>
      <c r="H209" s="1386"/>
      <c r="I209" s="1386"/>
      <c r="J209" s="1386"/>
      <c r="K209" s="1386"/>
      <c r="L209" s="1386"/>
      <c r="M209" s="1386"/>
      <c r="N209" s="1386"/>
      <c r="O209" s="1386"/>
      <c r="P209" s="1901"/>
    </row>
    <row r="210" spans="1:16" ht="16.5" x14ac:dyDescent="0.3">
      <c r="A210" s="1907"/>
      <c r="B210" s="1047">
        <v>204</v>
      </c>
      <c r="C210" s="1386"/>
      <c r="D210" s="1363"/>
      <c r="E210" s="1363"/>
      <c r="F210" s="1363"/>
      <c r="G210" s="1363"/>
      <c r="H210" s="1363"/>
      <c r="I210" s="1363"/>
      <c r="J210" s="1363"/>
      <c r="K210" s="1363"/>
      <c r="L210" s="1363"/>
      <c r="M210" s="1363"/>
      <c r="N210" s="1363"/>
      <c r="O210" s="1363"/>
      <c r="P210" s="1902"/>
    </row>
    <row r="211" spans="1:16" ht="16.5" x14ac:dyDescent="0.3">
      <c r="A211" s="1907"/>
      <c r="B211" s="1047">
        <v>205</v>
      </c>
      <c r="C211" s="1386"/>
      <c r="D211" s="1362" t="s">
        <v>734</v>
      </c>
      <c r="E211" s="1362"/>
      <c r="F211" s="1362"/>
      <c r="G211" s="1362"/>
      <c r="H211" s="1362"/>
      <c r="I211" s="1362"/>
      <c r="J211" s="1362" t="s">
        <v>734</v>
      </c>
      <c r="K211" s="1362"/>
      <c r="L211" s="1362"/>
      <c r="M211" s="1364"/>
      <c r="N211" s="1362"/>
      <c r="O211" s="1362" t="s">
        <v>734</v>
      </c>
      <c r="P211" s="1900"/>
    </row>
    <row r="212" spans="1:16" ht="16.5" x14ac:dyDescent="0.3">
      <c r="A212" s="1907"/>
      <c r="B212" s="1047">
        <v>206</v>
      </c>
      <c r="C212" s="1386"/>
      <c r="D212" s="1386"/>
      <c r="E212" s="1386"/>
      <c r="F212" s="1386"/>
      <c r="G212" s="1386"/>
      <c r="H212" s="1386"/>
      <c r="I212" s="1386"/>
      <c r="J212" s="1386"/>
      <c r="K212" s="1386"/>
      <c r="L212" s="1386"/>
      <c r="M212" s="1387"/>
      <c r="N212" s="1386"/>
      <c r="O212" s="1386"/>
      <c r="P212" s="1901"/>
    </row>
    <row r="213" spans="1:16" ht="16.5" x14ac:dyDescent="0.3">
      <c r="A213" s="1907"/>
      <c r="B213" s="1047">
        <v>207</v>
      </c>
      <c r="C213" s="1386"/>
      <c r="D213" s="1363"/>
      <c r="E213" s="1363"/>
      <c r="F213" s="1363"/>
      <c r="G213" s="1363"/>
      <c r="H213" s="1363"/>
      <c r="I213" s="1363"/>
      <c r="J213" s="1363"/>
      <c r="K213" s="1363"/>
      <c r="L213" s="1363"/>
      <c r="M213" s="1365"/>
      <c r="N213" s="1363"/>
      <c r="O213" s="1363"/>
      <c r="P213" s="1902"/>
    </row>
    <row r="214" spans="1:16" ht="16.5" x14ac:dyDescent="0.3">
      <c r="A214" s="1907"/>
      <c r="B214" s="1047">
        <v>208</v>
      </c>
      <c r="C214" s="1386"/>
      <c r="D214" s="612" t="s">
        <v>735</v>
      </c>
      <c r="E214" s="612"/>
      <c r="F214" s="612"/>
      <c r="G214" s="1040"/>
      <c r="H214" s="612"/>
      <c r="I214" s="612" t="s">
        <v>735</v>
      </c>
      <c r="J214" s="612"/>
      <c r="K214" s="612"/>
      <c r="L214" s="612"/>
      <c r="M214" s="1040"/>
      <c r="N214" s="612" t="s">
        <v>735</v>
      </c>
      <c r="O214" s="612"/>
      <c r="P214" s="1041"/>
    </row>
    <row r="215" spans="1:16" ht="16.5" x14ac:dyDescent="0.3">
      <c r="A215" s="1907"/>
      <c r="B215" s="1047">
        <v>209</v>
      </c>
      <c r="C215" s="1386"/>
      <c r="D215" s="612" t="s">
        <v>736</v>
      </c>
      <c r="E215" s="612"/>
      <c r="F215" s="612"/>
      <c r="G215" s="1040"/>
      <c r="H215" s="612"/>
      <c r="I215" s="612"/>
      <c r="J215" s="612"/>
      <c r="K215" s="612"/>
      <c r="L215" s="612"/>
      <c r="M215" s="1040"/>
      <c r="N215" s="612" t="s">
        <v>736</v>
      </c>
      <c r="O215" s="612"/>
      <c r="P215" s="1041"/>
    </row>
    <row r="216" spans="1:16" ht="16.5" x14ac:dyDescent="0.3">
      <c r="A216" s="1907"/>
      <c r="B216" s="1047">
        <v>210</v>
      </c>
      <c r="C216" s="1386"/>
      <c r="D216" s="1362" t="s">
        <v>734</v>
      </c>
      <c r="E216" s="1362"/>
      <c r="F216" s="1362"/>
      <c r="G216" s="1362"/>
      <c r="H216" s="1362"/>
      <c r="I216" s="1362"/>
      <c r="J216" s="1362" t="s">
        <v>734</v>
      </c>
      <c r="K216" s="1362"/>
      <c r="L216" s="1362"/>
      <c r="M216" s="1364"/>
      <c r="N216" s="1362"/>
      <c r="O216" s="1362" t="s">
        <v>734</v>
      </c>
      <c r="P216" s="1900"/>
    </row>
    <row r="217" spans="1:16" ht="16.5" x14ac:dyDescent="0.3">
      <c r="A217" s="1907"/>
      <c r="B217" s="1047">
        <v>211</v>
      </c>
      <c r="C217" s="1386"/>
      <c r="D217" s="1386"/>
      <c r="E217" s="1386"/>
      <c r="F217" s="1386"/>
      <c r="G217" s="1386"/>
      <c r="H217" s="1386"/>
      <c r="I217" s="1386"/>
      <c r="J217" s="1386"/>
      <c r="K217" s="1386"/>
      <c r="L217" s="1386"/>
      <c r="M217" s="1387"/>
      <c r="N217" s="1386"/>
      <c r="O217" s="1386"/>
      <c r="P217" s="1901"/>
    </row>
    <row r="218" spans="1:16" ht="16.5" x14ac:dyDescent="0.3">
      <c r="A218" s="1907"/>
      <c r="B218" s="1047">
        <v>212</v>
      </c>
      <c r="C218" s="1386"/>
      <c r="D218" s="1363"/>
      <c r="E218" s="1363"/>
      <c r="F218" s="1363"/>
      <c r="G218" s="1363"/>
      <c r="H218" s="1363"/>
      <c r="I218" s="1363"/>
      <c r="J218" s="1363"/>
      <c r="K218" s="1363"/>
      <c r="L218" s="1363"/>
      <c r="M218" s="1365"/>
      <c r="N218" s="1363"/>
      <c r="O218" s="1363"/>
      <c r="P218" s="1902"/>
    </row>
    <row r="219" spans="1:16" ht="16.5" x14ac:dyDescent="0.3">
      <c r="A219" s="1907"/>
      <c r="B219" s="1058" t="s">
        <v>113</v>
      </c>
      <c r="C219" s="1386"/>
      <c r="D219" s="612" t="s">
        <v>735</v>
      </c>
      <c r="E219" s="612"/>
      <c r="F219" s="612"/>
      <c r="G219" s="1040"/>
      <c r="H219" s="612"/>
      <c r="I219" s="612" t="s">
        <v>735</v>
      </c>
      <c r="J219" s="612"/>
      <c r="K219" s="612"/>
      <c r="L219" s="612"/>
      <c r="M219" s="1040"/>
      <c r="N219" s="612" t="s">
        <v>735</v>
      </c>
      <c r="O219" s="612"/>
      <c r="P219" s="1041"/>
    </row>
    <row r="220" spans="1:16" ht="16.5" x14ac:dyDescent="0.3">
      <c r="A220" s="1907"/>
      <c r="B220" s="1047">
        <v>213</v>
      </c>
      <c r="C220" s="1386"/>
      <c r="D220" s="1362" t="s">
        <v>734</v>
      </c>
      <c r="E220" s="1362"/>
      <c r="F220" s="1362"/>
      <c r="G220" s="1362"/>
      <c r="H220" s="1362"/>
      <c r="I220" s="1362"/>
      <c r="J220" s="1362" t="s">
        <v>734</v>
      </c>
      <c r="K220" s="1362"/>
      <c r="L220" s="1362"/>
      <c r="M220" s="1364"/>
      <c r="N220" s="1362"/>
      <c r="O220" s="1362" t="s">
        <v>734</v>
      </c>
      <c r="P220" s="1900"/>
    </row>
    <row r="221" spans="1:16" ht="16.5" x14ac:dyDescent="0.3">
      <c r="A221" s="1907"/>
      <c r="B221" s="1047">
        <v>214</v>
      </c>
      <c r="C221" s="1386"/>
      <c r="D221" s="1386"/>
      <c r="E221" s="1386"/>
      <c r="F221" s="1386"/>
      <c r="G221" s="1386"/>
      <c r="H221" s="1386"/>
      <c r="I221" s="1386"/>
      <c r="J221" s="1386"/>
      <c r="K221" s="1386"/>
      <c r="L221" s="1386"/>
      <c r="M221" s="1387"/>
      <c r="N221" s="1386"/>
      <c r="O221" s="1386"/>
      <c r="P221" s="1901"/>
    </row>
    <row r="222" spans="1:16" ht="16.5" x14ac:dyDescent="0.3">
      <c r="A222" s="1908"/>
      <c r="B222" s="1047">
        <v>215</v>
      </c>
      <c r="C222" s="1363"/>
      <c r="D222" s="1363"/>
      <c r="E222" s="1363"/>
      <c r="F222" s="1363"/>
      <c r="G222" s="1363"/>
      <c r="H222" s="1363"/>
      <c r="I222" s="1363"/>
      <c r="J222" s="1363"/>
      <c r="K222" s="1363"/>
      <c r="L222" s="1363"/>
      <c r="M222" s="1365"/>
      <c r="N222" s="1363"/>
      <c r="O222" s="1363"/>
      <c r="P222" s="1902"/>
    </row>
    <row r="223" spans="1:16" ht="16.5" x14ac:dyDescent="0.3">
      <c r="A223" s="1903" t="s">
        <v>122</v>
      </c>
      <c r="B223" s="1047">
        <v>216</v>
      </c>
      <c r="C223" s="1362" t="s">
        <v>46</v>
      </c>
      <c r="D223" s="1084" t="s">
        <v>8</v>
      </c>
      <c r="E223" s="612"/>
      <c r="F223" s="612"/>
      <c r="G223" s="1040"/>
      <c r="H223" s="612" t="s">
        <v>8</v>
      </c>
      <c r="I223" s="612"/>
      <c r="J223" s="612" t="s">
        <v>8</v>
      </c>
      <c r="K223" s="612"/>
      <c r="L223" s="612" t="s">
        <v>8</v>
      </c>
      <c r="M223" s="1040"/>
      <c r="N223" s="612"/>
      <c r="O223" s="612" t="s">
        <v>8</v>
      </c>
      <c r="P223" s="1041"/>
    </row>
    <row r="224" spans="1:16" ht="17.25" customHeight="1" x14ac:dyDescent="0.3">
      <c r="A224" s="1904"/>
      <c r="B224" s="1047">
        <v>217</v>
      </c>
      <c r="C224" s="1386"/>
      <c r="D224" s="1086" t="s">
        <v>8</v>
      </c>
      <c r="E224" s="612"/>
      <c r="F224" s="612"/>
      <c r="G224" s="1040"/>
      <c r="H224" s="612"/>
      <c r="I224" s="612"/>
      <c r="J224" s="612"/>
      <c r="K224" s="612"/>
      <c r="L224" s="612"/>
      <c r="M224" s="1040" t="s">
        <v>8</v>
      </c>
      <c r="N224" s="612"/>
      <c r="O224" s="612"/>
      <c r="P224" s="1041"/>
    </row>
    <row r="225" spans="1:16" ht="16.5" x14ac:dyDescent="0.3">
      <c r="A225" s="1904"/>
      <c r="B225" s="1047">
        <v>218</v>
      </c>
      <c r="C225" s="1386"/>
      <c r="D225" s="1362" t="s">
        <v>738</v>
      </c>
      <c r="E225" s="1362"/>
      <c r="F225" s="1362"/>
      <c r="G225" s="1364"/>
      <c r="H225" s="1386" t="s">
        <v>738</v>
      </c>
      <c r="I225" s="1362"/>
      <c r="J225" s="1386" t="s">
        <v>738</v>
      </c>
      <c r="K225" s="1362"/>
      <c r="L225" s="1386" t="s">
        <v>738</v>
      </c>
      <c r="M225" s="1364"/>
      <c r="N225" s="1362"/>
      <c r="O225" s="1386" t="s">
        <v>738</v>
      </c>
      <c r="P225" s="1894"/>
    </row>
    <row r="226" spans="1:16" ht="16.5" x14ac:dyDescent="0.3">
      <c r="A226" s="1904"/>
      <c r="B226" s="1047">
        <v>219</v>
      </c>
      <c r="C226" s="1386"/>
      <c r="D226" s="1386"/>
      <c r="E226" s="1386"/>
      <c r="F226" s="1386"/>
      <c r="G226" s="1387"/>
      <c r="H226" s="1386"/>
      <c r="I226" s="1386"/>
      <c r="J226" s="1386"/>
      <c r="K226" s="1386"/>
      <c r="L226" s="1386"/>
      <c r="M226" s="1387"/>
      <c r="N226" s="1386"/>
      <c r="O226" s="1386"/>
      <c r="P226" s="1895"/>
    </row>
    <row r="227" spans="1:16" ht="16.5" x14ac:dyDescent="0.3">
      <c r="A227" s="1904"/>
      <c r="B227" s="1047">
        <v>220</v>
      </c>
      <c r="C227" s="1386"/>
      <c r="D227" s="1386"/>
      <c r="E227" s="1386"/>
      <c r="F227" s="1386"/>
      <c r="G227" s="1387"/>
      <c r="H227" s="1386"/>
      <c r="I227" s="1386"/>
      <c r="J227" s="1386"/>
      <c r="K227" s="1386"/>
      <c r="L227" s="1386"/>
      <c r="M227" s="1387"/>
      <c r="N227" s="1386"/>
      <c r="O227" s="1386"/>
      <c r="P227" s="1895"/>
    </row>
    <row r="228" spans="1:16" ht="16.5" x14ac:dyDescent="0.3">
      <c r="A228" s="1904"/>
      <c r="B228" s="1047">
        <v>221</v>
      </c>
      <c r="C228" s="1386"/>
      <c r="D228" s="1386"/>
      <c r="E228" s="1386"/>
      <c r="F228" s="1386"/>
      <c r="G228" s="1387"/>
      <c r="H228" s="1386"/>
      <c r="I228" s="1386"/>
      <c r="J228" s="1386"/>
      <c r="K228" s="1386"/>
      <c r="L228" s="1386"/>
      <c r="M228" s="1387"/>
      <c r="N228" s="1386"/>
      <c r="O228" s="1386"/>
      <c r="P228" s="1895"/>
    </row>
    <row r="229" spans="1:16" ht="16.5" x14ac:dyDescent="0.3">
      <c r="A229" s="1904"/>
      <c r="B229" s="1047">
        <v>222</v>
      </c>
      <c r="C229" s="1386"/>
      <c r="D229" s="1386"/>
      <c r="E229" s="1386"/>
      <c r="F229" s="1386"/>
      <c r="G229" s="1387"/>
      <c r="H229" s="1386"/>
      <c r="I229" s="1386"/>
      <c r="J229" s="1386"/>
      <c r="K229" s="1386"/>
      <c r="L229" s="1386"/>
      <c r="M229" s="1387"/>
      <c r="N229" s="1386"/>
      <c r="O229" s="1386"/>
      <c r="P229" s="1895"/>
    </row>
    <row r="230" spans="1:16" ht="16.5" x14ac:dyDescent="0.3">
      <c r="A230" s="1904"/>
      <c r="B230" s="1047">
        <v>223</v>
      </c>
      <c r="C230" s="1386"/>
      <c r="D230" s="1386"/>
      <c r="E230" s="1386"/>
      <c r="F230" s="1386"/>
      <c r="G230" s="1387"/>
      <c r="H230" s="1386"/>
      <c r="I230" s="1386"/>
      <c r="J230" s="1386"/>
      <c r="K230" s="1386"/>
      <c r="L230" s="1386"/>
      <c r="M230" s="1387"/>
      <c r="N230" s="1386"/>
      <c r="O230" s="1386"/>
      <c r="P230" s="1895"/>
    </row>
    <row r="231" spans="1:16" ht="16.5" x14ac:dyDescent="0.3">
      <c r="A231" s="1904"/>
      <c r="B231" s="1047">
        <v>224</v>
      </c>
      <c r="C231" s="1386"/>
      <c r="D231" s="1386"/>
      <c r="E231" s="1386"/>
      <c r="F231" s="1386"/>
      <c r="G231" s="1387"/>
      <c r="H231" s="1386"/>
      <c r="I231" s="1386"/>
      <c r="J231" s="1386"/>
      <c r="K231" s="1386"/>
      <c r="L231" s="1386"/>
      <c r="M231" s="1387"/>
      <c r="N231" s="1386"/>
      <c r="O231" s="1386"/>
      <c r="P231" s="1895"/>
    </row>
    <row r="232" spans="1:16" ht="16.5" x14ac:dyDescent="0.3">
      <c r="A232" s="1904"/>
      <c r="B232" s="1047">
        <v>225</v>
      </c>
      <c r="C232" s="1386"/>
      <c r="D232" s="1386"/>
      <c r="E232" s="1386"/>
      <c r="F232" s="1386"/>
      <c r="G232" s="1387"/>
      <c r="H232" s="1386"/>
      <c r="I232" s="1386"/>
      <c r="J232" s="1386"/>
      <c r="K232" s="1386"/>
      <c r="L232" s="1386"/>
      <c r="M232" s="1387"/>
      <c r="N232" s="1386"/>
      <c r="O232" s="1386"/>
      <c r="P232" s="1895"/>
    </row>
    <row r="233" spans="1:16" ht="16.5" x14ac:dyDescent="0.3">
      <c r="A233" s="1904"/>
      <c r="B233" s="1047">
        <v>226</v>
      </c>
      <c r="C233" s="1386"/>
      <c r="D233" s="1386"/>
      <c r="E233" s="1386"/>
      <c r="F233" s="1386"/>
      <c r="G233" s="1387"/>
      <c r="H233" s="1386"/>
      <c r="I233" s="1386"/>
      <c r="J233" s="1386"/>
      <c r="K233" s="1386"/>
      <c r="L233" s="1386"/>
      <c r="M233" s="1387"/>
      <c r="N233" s="1386"/>
      <c r="O233" s="1386"/>
      <c r="P233" s="1895"/>
    </row>
    <row r="234" spans="1:16" ht="16.5" x14ac:dyDescent="0.3">
      <c r="A234" s="1904"/>
      <c r="B234" s="1047">
        <v>227</v>
      </c>
      <c r="C234" s="1386"/>
      <c r="D234" s="1363"/>
      <c r="E234" s="1363"/>
      <c r="F234" s="1363"/>
      <c r="G234" s="1365"/>
      <c r="H234" s="1386"/>
      <c r="I234" s="1363"/>
      <c r="J234" s="1386"/>
      <c r="K234" s="1363"/>
      <c r="L234" s="1386"/>
      <c r="M234" s="1365"/>
      <c r="N234" s="1363"/>
      <c r="O234" s="1386"/>
      <c r="P234" s="1896"/>
    </row>
    <row r="235" spans="1:16" ht="16.5" x14ac:dyDescent="0.3">
      <c r="A235" s="1904"/>
      <c r="B235" s="1047">
        <v>228</v>
      </c>
      <c r="C235" s="1386"/>
      <c r="D235" s="1040"/>
      <c r="E235" s="612" t="s">
        <v>8</v>
      </c>
      <c r="F235" s="612"/>
      <c r="G235" s="1040"/>
      <c r="H235" s="612" t="s">
        <v>8</v>
      </c>
      <c r="I235" s="612"/>
      <c r="J235" s="612"/>
      <c r="K235" s="612"/>
      <c r="L235" s="612" t="s">
        <v>8</v>
      </c>
      <c r="M235" s="1040"/>
      <c r="N235" s="612"/>
      <c r="O235" s="612"/>
      <c r="P235" s="1041"/>
    </row>
    <row r="236" spans="1:16" ht="16.5" x14ac:dyDescent="0.3">
      <c r="A236" s="1904"/>
      <c r="B236" s="1047">
        <v>229</v>
      </c>
      <c r="C236" s="1386"/>
      <c r="D236" s="1040" t="s">
        <v>739</v>
      </c>
      <c r="E236" s="612"/>
      <c r="F236" s="612"/>
      <c r="G236" s="1040"/>
      <c r="H236" s="612"/>
      <c r="I236" s="612"/>
      <c r="J236" s="612"/>
      <c r="K236" s="612"/>
      <c r="L236" s="612"/>
      <c r="M236" s="1040" t="s">
        <v>739</v>
      </c>
      <c r="N236" s="612"/>
      <c r="O236" s="612"/>
      <c r="P236" s="1041"/>
    </row>
    <row r="237" spans="1:16" ht="16.5" x14ac:dyDescent="0.3">
      <c r="A237" s="1904"/>
      <c r="B237" s="1047">
        <v>230</v>
      </c>
      <c r="C237" s="1386"/>
      <c r="D237" s="1362" t="s">
        <v>738</v>
      </c>
      <c r="E237" s="1362"/>
      <c r="F237" s="1362"/>
      <c r="G237" s="1364"/>
      <c r="H237" s="1386" t="s">
        <v>738</v>
      </c>
      <c r="I237" s="1362"/>
      <c r="J237" s="1386" t="s">
        <v>738</v>
      </c>
      <c r="K237" s="1362"/>
      <c r="L237" s="1386" t="s">
        <v>738</v>
      </c>
      <c r="M237" s="1364"/>
      <c r="N237" s="1362"/>
      <c r="O237" s="1386" t="s">
        <v>738</v>
      </c>
      <c r="P237" s="1894"/>
    </row>
    <row r="238" spans="1:16" ht="16.5" x14ac:dyDescent="0.3">
      <c r="A238" s="1904"/>
      <c r="B238" s="1047">
        <v>231</v>
      </c>
      <c r="C238" s="1386"/>
      <c r="D238" s="1386"/>
      <c r="E238" s="1386"/>
      <c r="F238" s="1386"/>
      <c r="G238" s="1387"/>
      <c r="H238" s="1386"/>
      <c r="I238" s="1386"/>
      <c r="J238" s="1386"/>
      <c r="K238" s="1386"/>
      <c r="L238" s="1386"/>
      <c r="M238" s="1387"/>
      <c r="N238" s="1386"/>
      <c r="O238" s="1386"/>
      <c r="P238" s="1895"/>
    </row>
    <row r="239" spans="1:16" ht="16.5" x14ac:dyDescent="0.3">
      <c r="A239" s="1904"/>
      <c r="B239" s="1047">
        <v>232</v>
      </c>
      <c r="C239" s="1386"/>
      <c r="D239" s="1386"/>
      <c r="E239" s="1386"/>
      <c r="F239" s="1386"/>
      <c r="G239" s="1387"/>
      <c r="H239" s="1386"/>
      <c r="I239" s="1386"/>
      <c r="J239" s="1386"/>
      <c r="K239" s="1386"/>
      <c r="L239" s="1386"/>
      <c r="M239" s="1387"/>
      <c r="N239" s="1386"/>
      <c r="O239" s="1386"/>
      <c r="P239" s="1895"/>
    </row>
    <row r="240" spans="1:16" ht="16.5" x14ac:dyDescent="0.3">
      <c r="A240" s="1904"/>
      <c r="B240" s="1047">
        <v>233</v>
      </c>
      <c r="C240" s="1386"/>
      <c r="D240" s="1386"/>
      <c r="E240" s="1386"/>
      <c r="F240" s="1386"/>
      <c r="G240" s="1387"/>
      <c r="H240" s="1386"/>
      <c r="I240" s="1386"/>
      <c r="J240" s="1386"/>
      <c r="K240" s="1386"/>
      <c r="L240" s="1386"/>
      <c r="M240" s="1387"/>
      <c r="N240" s="1386"/>
      <c r="O240" s="1386"/>
      <c r="P240" s="1895"/>
    </row>
    <row r="241" spans="1:16" ht="16.5" x14ac:dyDescent="0.3">
      <c r="A241" s="1904"/>
      <c r="B241" s="1047">
        <v>234</v>
      </c>
      <c r="C241" s="1386"/>
      <c r="D241" s="1386"/>
      <c r="E241" s="1386"/>
      <c r="F241" s="1386"/>
      <c r="G241" s="1387"/>
      <c r="H241" s="1386"/>
      <c r="I241" s="1386"/>
      <c r="J241" s="1386"/>
      <c r="K241" s="1386"/>
      <c r="L241" s="1386"/>
      <c r="M241" s="1387"/>
      <c r="N241" s="1386"/>
      <c r="O241" s="1386"/>
      <c r="P241" s="1895"/>
    </row>
    <row r="242" spans="1:16" ht="16.5" x14ac:dyDescent="0.3">
      <c r="A242" s="1904"/>
      <c r="B242" s="1047">
        <v>235</v>
      </c>
      <c r="C242" s="1386"/>
      <c r="D242" s="1386"/>
      <c r="E242" s="1386"/>
      <c r="F242" s="1386"/>
      <c r="G242" s="1387"/>
      <c r="H242" s="1386"/>
      <c r="I242" s="1386"/>
      <c r="J242" s="1386"/>
      <c r="K242" s="1386"/>
      <c r="L242" s="1386"/>
      <c r="M242" s="1387"/>
      <c r="N242" s="1386"/>
      <c r="O242" s="1386"/>
      <c r="P242" s="1895"/>
    </row>
    <row r="243" spans="1:16" ht="16.5" x14ac:dyDescent="0.3">
      <c r="A243" s="1904"/>
      <c r="B243" s="1047">
        <v>236</v>
      </c>
      <c r="C243" s="1386"/>
      <c r="D243" s="1386"/>
      <c r="E243" s="1386"/>
      <c r="F243" s="1386"/>
      <c r="G243" s="1387"/>
      <c r="H243" s="1386"/>
      <c r="I243" s="1386"/>
      <c r="J243" s="1386"/>
      <c r="K243" s="1386"/>
      <c r="L243" s="1386"/>
      <c r="M243" s="1387"/>
      <c r="N243" s="1386"/>
      <c r="O243" s="1386"/>
      <c r="P243" s="1895"/>
    </row>
    <row r="244" spans="1:16" ht="16.5" x14ac:dyDescent="0.3">
      <c r="A244" s="1904"/>
      <c r="B244" s="1047">
        <v>237</v>
      </c>
      <c r="C244" s="1386"/>
      <c r="D244" s="1386"/>
      <c r="E244" s="1386"/>
      <c r="F244" s="1386"/>
      <c r="G244" s="1387"/>
      <c r="H244" s="1386"/>
      <c r="I244" s="1386"/>
      <c r="J244" s="1386"/>
      <c r="K244" s="1386"/>
      <c r="L244" s="1386"/>
      <c r="M244" s="1387"/>
      <c r="N244" s="1386"/>
      <c r="O244" s="1386"/>
      <c r="P244" s="1895"/>
    </row>
    <row r="245" spans="1:16" ht="16.5" x14ac:dyDescent="0.3">
      <c r="A245" s="1904"/>
      <c r="B245" s="1047">
        <v>238</v>
      </c>
      <c r="C245" s="1386"/>
      <c r="D245" s="1386"/>
      <c r="E245" s="1386"/>
      <c r="F245" s="1386"/>
      <c r="G245" s="1387"/>
      <c r="H245" s="1386"/>
      <c r="I245" s="1386"/>
      <c r="J245" s="1386"/>
      <c r="K245" s="1386"/>
      <c r="L245" s="1386"/>
      <c r="M245" s="1387"/>
      <c r="N245" s="1386"/>
      <c r="O245" s="1386"/>
      <c r="P245" s="1895"/>
    </row>
    <row r="246" spans="1:16" ht="16.5" x14ac:dyDescent="0.3">
      <c r="A246" s="1904"/>
      <c r="B246" s="1047">
        <v>239</v>
      </c>
      <c r="C246" s="1386"/>
      <c r="D246" s="1363"/>
      <c r="E246" s="1363"/>
      <c r="F246" s="1363"/>
      <c r="G246" s="1365"/>
      <c r="H246" s="1386"/>
      <c r="I246" s="1363"/>
      <c r="J246" s="1386"/>
      <c r="K246" s="1363"/>
      <c r="L246" s="1386"/>
      <c r="M246" s="1365"/>
      <c r="N246" s="1363"/>
      <c r="O246" s="1386"/>
      <c r="P246" s="1896"/>
    </row>
    <row r="247" spans="1:16" ht="16.5" x14ac:dyDescent="0.3">
      <c r="A247" s="1904"/>
      <c r="B247" s="1047">
        <v>240</v>
      </c>
      <c r="C247" s="1386"/>
      <c r="D247" s="1040"/>
      <c r="E247" s="612" t="s">
        <v>740</v>
      </c>
      <c r="F247" s="612"/>
      <c r="G247" s="1040"/>
      <c r="H247" s="612"/>
      <c r="I247" s="612"/>
      <c r="J247" s="612"/>
      <c r="K247" s="612"/>
      <c r="L247" s="612" t="s">
        <v>740</v>
      </c>
      <c r="M247" s="1040"/>
      <c r="N247" s="612"/>
      <c r="O247" s="612"/>
      <c r="P247" s="1041"/>
    </row>
    <row r="248" spans="1:16" ht="16.5" x14ac:dyDescent="0.3">
      <c r="A248" s="1904"/>
      <c r="B248" s="1047">
        <v>241</v>
      </c>
      <c r="C248" s="1386"/>
      <c r="D248" s="1040" t="s">
        <v>739</v>
      </c>
      <c r="E248" s="612"/>
      <c r="F248" s="612"/>
      <c r="G248" s="1040"/>
      <c r="H248" s="612"/>
      <c r="I248" s="612"/>
      <c r="J248" s="612"/>
      <c r="K248" s="612"/>
      <c r="L248" s="612"/>
      <c r="M248" s="1040" t="s">
        <v>739</v>
      </c>
      <c r="N248" s="612"/>
      <c r="O248" s="612"/>
      <c r="P248" s="1041"/>
    </row>
    <row r="249" spans="1:16" ht="16.5" x14ac:dyDescent="0.3">
      <c r="A249" s="1904"/>
      <c r="B249" s="1047">
        <v>242</v>
      </c>
      <c r="C249" s="1386"/>
      <c r="D249" s="1362" t="s">
        <v>738</v>
      </c>
      <c r="E249" s="1362"/>
      <c r="F249" s="1362"/>
      <c r="G249" s="1364"/>
      <c r="H249" s="1386" t="s">
        <v>738</v>
      </c>
      <c r="I249" s="1362"/>
      <c r="J249" s="1386" t="s">
        <v>738</v>
      </c>
      <c r="K249" s="1362"/>
      <c r="L249" s="1386" t="s">
        <v>738</v>
      </c>
      <c r="M249" s="1364"/>
      <c r="N249" s="1362"/>
      <c r="O249" s="1386" t="s">
        <v>738</v>
      </c>
      <c r="P249" s="1894"/>
    </row>
    <row r="250" spans="1:16" ht="16.5" x14ac:dyDescent="0.3">
      <c r="A250" s="1904"/>
      <c r="B250" s="1047">
        <v>243</v>
      </c>
      <c r="C250" s="1386"/>
      <c r="D250" s="1386"/>
      <c r="E250" s="1386"/>
      <c r="F250" s="1386"/>
      <c r="G250" s="1387"/>
      <c r="H250" s="1386"/>
      <c r="I250" s="1386"/>
      <c r="J250" s="1386"/>
      <c r="K250" s="1386"/>
      <c r="L250" s="1386"/>
      <c r="M250" s="1387"/>
      <c r="N250" s="1386"/>
      <c r="O250" s="1386"/>
      <c r="P250" s="1895"/>
    </row>
    <row r="251" spans="1:16" ht="16.5" x14ac:dyDescent="0.3">
      <c r="A251" s="1904"/>
      <c r="B251" s="1047">
        <v>244</v>
      </c>
      <c r="C251" s="1386"/>
      <c r="D251" s="1386"/>
      <c r="E251" s="1386"/>
      <c r="F251" s="1386"/>
      <c r="G251" s="1387"/>
      <c r="H251" s="1386"/>
      <c r="I251" s="1386"/>
      <c r="J251" s="1386"/>
      <c r="K251" s="1386"/>
      <c r="L251" s="1386"/>
      <c r="M251" s="1387"/>
      <c r="N251" s="1386"/>
      <c r="O251" s="1386"/>
      <c r="P251" s="1895"/>
    </row>
    <row r="252" spans="1:16" ht="16.5" x14ac:dyDescent="0.3">
      <c r="A252" s="1904"/>
      <c r="B252" s="1047">
        <v>245</v>
      </c>
      <c r="C252" s="1386"/>
      <c r="D252" s="1386"/>
      <c r="E252" s="1386"/>
      <c r="F252" s="1386"/>
      <c r="G252" s="1387"/>
      <c r="H252" s="1386"/>
      <c r="I252" s="1386"/>
      <c r="J252" s="1386"/>
      <c r="K252" s="1386"/>
      <c r="L252" s="1386"/>
      <c r="M252" s="1387"/>
      <c r="N252" s="1386"/>
      <c r="O252" s="1386"/>
      <c r="P252" s="1895"/>
    </row>
    <row r="253" spans="1:16" ht="16.5" x14ac:dyDescent="0.3">
      <c r="A253" s="1904"/>
      <c r="B253" s="1047">
        <v>246</v>
      </c>
      <c r="C253" s="1386"/>
      <c r="D253" s="1386"/>
      <c r="E253" s="1386"/>
      <c r="F253" s="1386"/>
      <c r="G253" s="1387"/>
      <c r="H253" s="1386"/>
      <c r="I253" s="1386"/>
      <c r="J253" s="1386"/>
      <c r="K253" s="1386"/>
      <c r="L253" s="1386"/>
      <c r="M253" s="1387"/>
      <c r="N253" s="1386"/>
      <c r="O253" s="1386"/>
      <c r="P253" s="1895"/>
    </row>
    <row r="254" spans="1:16" ht="16.5" x14ac:dyDescent="0.3">
      <c r="A254" s="1904"/>
      <c r="B254" s="1047">
        <v>247</v>
      </c>
      <c r="C254" s="1386"/>
      <c r="D254" s="1386"/>
      <c r="E254" s="1386"/>
      <c r="F254" s="1386"/>
      <c r="G254" s="1387"/>
      <c r="H254" s="1386"/>
      <c r="I254" s="1386"/>
      <c r="J254" s="1386"/>
      <c r="K254" s="1386"/>
      <c r="L254" s="1386"/>
      <c r="M254" s="1387"/>
      <c r="N254" s="1386"/>
      <c r="O254" s="1386"/>
      <c r="P254" s="1895"/>
    </row>
    <row r="255" spans="1:16" ht="16.5" x14ac:dyDescent="0.3">
      <c r="A255" s="1904"/>
      <c r="B255" s="1047">
        <v>248</v>
      </c>
      <c r="C255" s="1386"/>
      <c r="D255" s="1386"/>
      <c r="E255" s="1386"/>
      <c r="F255" s="1386"/>
      <c r="G255" s="1387"/>
      <c r="H255" s="1386"/>
      <c r="I255" s="1386"/>
      <c r="J255" s="1386"/>
      <c r="K255" s="1386"/>
      <c r="L255" s="1386"/>
      <c r="M255" s="1387"/>
      <c r="N255" s="1386"/>
      <c r="O255" s="1386"/>
      <c r="P255" s="1895"/>
    </row>
    <row r="256" spans="1:16" ht="16.5" x14ac:dyDescent="0.3">
      <c r="A256" s="1904"/>
      <c r="B256" s="1047">
        <v>249</v>
      </c>
      <c r="C256" s="1386"/>
      <c r="D256" s="1386"/>
      <c r="E256" s="1386"/>
      <c r="F256" s="1386"/>
      <c r="G256" s="1387"/>
      <c r="H256" s="1386"/>
      <c r="I256" s="1386"/>
      <c r="J256" s="1386"/>
      <c r="K256" s="1386"/>
      <c r="L256" s="1386"/>
      <c r="M256" s="1387"/>
      <c r="N256" s="1386"/>
      <c r="O256" s="1386"/>
      <c r="P256" s="1895"/>
    </row>
    <row r="257" spans="1:16" ht="16.5" x14ac:dyDescent="0.3">
      <c r="A257" s="1904"/>
      <c r="B257" s="1047">
        <v>250</v>
      </c>
      <c r="C257" s="1386"/>
      <c r="D257" s="1386"/>
      <c r="E257" s="1386"/>
      <c r="F257" s="1386"/>
      <c r="G257" s="1387"/>
      <c r="H257" s="1386"/>
      <c r="I257" s="1386"/>
      <c r="J257" s="1386"/>
      <c r="K257" s="1386"/>
      <c r="L257" s="1386"/>
      <c r="M257" s="1387"/>
      <c r="N257" s="1386"/>
      <c r="O257" s="1386"/>
      <c r="P257" s="1895"/>
    </row>
    <row r="258" spans="1:16" ht="16.5" x14ac:dyDescent="0.3">
      <c r="A258" s="1904"/>
      <c r="B258" s="1047">
        <v>251</v>
      </c>
      <c r="C258" s="1386"/>
      <c r="D258" s="1363"/>
      <c r="E258" s="1363"/>
      <c r="F258" s="1363"/>
      <c r="G258" s="1365"/>
      <c r="H258" s="1386"/>
      <c r="I258" s="1363"/>
      <c r="J258" s="1386"/>
      <c r="K258" s="1363"/>
      <c r="L258" s="1386"/>
      <c r="M258" s="1365"/>
      <c r="N258" s="1363"/>
      <c r="O258" s="1386"/>
      <c r="P258" s="1896"/>
    </row>
    <row r="259" spans="1:16" ht="16.5" x14ac:dyDescent="0.3">
      <c r="A259" s="1904"/>
      <c r="B259" s="1047">
        <v>252</v>
      </c>
      <c r="C259" s="1386"/>
      <c r="D259" s="1040"/>
      <c r="E259" s="612" t="s">
        <v>740</v>
      </c>
      <c r="F259" s="612"/>
      <c r="G259" s="1040"/>
      <c r="H259" s="612"/>
      <c r="I259" s="612"/>
      <c r="J259" s="612"/>
      <c r="K259" s="612"/>
      <c r="L259" s="612" t="s">
        <v>740</v>
      </c>
      <c r="M259" s="1040"/>
      <c r="N259" s="612"/>
      <c r="O259" s="612"/>
      <c r="P259" s="1041"/>
    </row>
    <row r="260" spans="1:16" ht="16.5" x14ac:dyDescent="0.3">
      <c r="A260" s="1904"/>
      <c r="B260" s="1047">
        <v>253</v>
      </c>
      <c r="C260" s="1386"/>
      <c r="D260" s="1362" t="s">
        <v>738</v>
      </c>
      <c r="E260" s="1362"/>
      <c r="F260" s="1362"/>
      <c r="G260" s="1364"/>
      <c r="H260" s="1362" t="s">
        <v>738</v>
      </c>
      <c r="I260" s="1362"/>
      <c r="J260" s="1362" t="s">
        <v>738</v>
      </c>
      <c r="K260" s="1362"/>
      <c r="L260" s="1362"/>
      <c r="M260" s="1364"/>
      <c r="N260" s="1362"/>
      <c r="O260" s="1362" t="s">
        <v>738</v>
      </c>
      <c r="P260" s="1894"/>
    </row>
    <row r="261" spans="1:16" ht="16.5" x14ac:dyDescent="0.3">
      <c r="A261" s="1904"/>
      <c r="B261" s="1047">
        <v>254</v>
      </c>
      <c r="C261" s="1386"/>
      <c r="D261" s="1386"/>
      <c r="E261" s="1386"/>
      <c r="F261" s="1386"/>
      <c r="G261" s="1387"/>
      <c r="H261" s="1386"/>
      <c r="I261" s="1386"/>
      <c r="J261" s="1386"/>
      <c r="K261" s="1386"/>
      <c r="L261" s="1386"/>
      <c r="M261" s="1387"/>
      <c r="N261" s="1386"/>
      <c r="O261" s="1386"/>
      <c r="P261" s="1895"/>
    </row>
    <row r="262" spans="1:16" ht="16.5" x14ac:dyDescent="0.3">
      <c r="A262" s="1904"/>
      <c r="B262" s="1047">
        <v>255</v>
      </c>
      <c r="C262" s="1386"/>
      <c r="D262" s="1386"/>
      <c r="E262" s="1386"/>
      <c r="F262" s="1386"/>
      <c r="G262" s="1387"/>
      <c r="H262" s="1386"/>
      <c r="I262" s="1386"/>
      <c r="J262" s="1386"/>
      <c r="K262" s="1386"/>
      <c r="L262" s="1386"/>
      <c r="M262" s="1387"/>
      <c r="N262" s="1386"/>
      <c r="O262" s="1386"/>
      <c r="P262" s="1895"/>
    </row>
    <row r="263" spans="1:16" ht="16.5" x14ac:dyDescent="0.3">
      <c r="A263" s="1904"/>
      <c r="B263" s="1047">
        <v>256</v>
      </c>
      <c r="C263" s="1386"/>
      <c r="D263" s="1386"/>
      <c r="E263" s="1386"/>
      <c r="F263" s="1386"/>
      <c r="G263" s="1387"/>
      <c r="H263" s="1386"/>
      <c r="I263" s="1386"/>
      <c r="J263" s="1386"/>
      <c r="K263" s="1386"/>
      <c r="L263" s="1386"/>
      <c r="M263" s="1387"/>
      <c r="N263" s="1386"/>
      <c r="O263" s="1386"/>
      <c r="P263" s="1895"/>
    </row>
    <row r="264" spans="1:16" ht="16.5" x14ac:dyDescent="0.3">
      <c r="A264" s="1904"/>
      <c r="B264" s="1047">
        <v>257</v>
      </c>
      <c r="C264" s="1386"/>
      <c r="D264" s="1386"/>
      <c r="E264" s="1386"/>
      <c r="F264" s="1386"/>
      <c r="G264" s="1387"/>
      <c r="H264" s="1386"/>
      <c r="I264" s="1386"/>
      <c r="J264" s="1386"/>
      <c r="K264" s="1386"/>
      <c r="L264" s="1386"/>
      <c r="M264" s="1387"/>
      <c r="N264" s="1386"/>
      <c r="O264" s="1386"/>
      <c r="P264" s="1895"/>
    </row>
    <row r="265" spans="1:16" ht="16.5" x14ac:dyDescent="0.3">
      <c r="A265" s="1904"/>
      <c r="B265" s="1047">
        <v>258</v>
      </c>
      <c r="C265" s="1386"/>
      <c r="D265" s="1386"/>
      <c r="E265" s="1386"/>
      <c r="F265" s="1386"/>
      <c r="G265" s="1387"/>
      <c r="H265" s="1386"/>
      <c r="I265" s="1386"/>
      <c r="J265" s="1386"/>
      <c r="K265" s="1386"/>
      <c r="L265" s="1386"/>
      <c r="M265" s="1387"/>
      <c r="N265" s="1386"/>
      <c r="O265" s="1386"/>
      <c r="P265" s="1895"/>
    </row>
    <row r="266" spans="1:16" ht="16.5" x14ac:dyDescent="0.3">
      <c r="A266" s="1904"/>
      <c r="B266" s="1047">
        <v>259</v>
      </c>
      <c r="C266" s="1386"/>
      <c r="D266" s="1386"/>
      <c r="E266" s="1386"/>
      <c r="F266" s="1386"/>
      <c r="G266" s="1387"/>
      <c r="H266" s="1386"/>
      <c r="I266" s="1386"/>
      <c r="J266" s="1386"/>
      <c r="K266" s="1386"/>
      <c r="L266" s="1386"/>
      <c r="M266" s="1387"/>
      <c r="N266" s="1386"/>
      <c r="O266" s="1386"/>
      <c r="P266" s="1895"/>
    </row>
    <row r="267" spans="1:16" ht="16.5" x14ac:dyDescent="0.3">
      <c r="A267" s="1904"/>
      <c r="B267" s="1047">
        <v>260</v>
      </c>
      <c r="C267" s="1386"/>
      <c r="D267" s="1386"/>
      <c r="E267" s="1386"/>
      <c r="F267" s="1386"/>
      <c r="G267" s="1387"/>
      <c r="H267" s="1386"/>
      <c r="I267" s="1386"/>
      <c r="J267" s="1386"/>
      <c r="K267" s="1386"/>
      <c r="L267" s="1386"/>
      <c r="M267" s="1387"/>
      <c r="N267" s="1386"/>
      <c r="O267" s="1386"/>
      <c r="P267" s="1895"/>
    </row>
    <row r="268" spans="1:16" ht="16.5" x14ac:dyDescent="0.3">
      <c r="A268" s="1904"/>
      <c r="B268" s="1047">
        <v>261</v>
      </c>
      <c r="C268" s="1386"/>
      <c r="D268" s="1386"/>
      <c r="E268" s="1386"/>
      <c r="F268" s="1386"/>
      <c r="G268" s="1387"/>
      <c r="H268" s="1386"/>
      <c r="I268" s="1386"/>
      <c r="J268" s="1386"/>
      <c r="K268" s="1386"/>
      <c r="L268" s="1386"/>
      <c r="M268" s="1387"/>
      <c r="N268" s="1386"/>
      <c r="O268" s="1386"/>
      <c r="P268" s="1895"/>
    </row>
    <row r="269" spans="1:16" ht="16.5" x14ac:dyDescent="0.3">
      <c r="A269" s="1904"/>
      <c r="B269" s="1047">
        <v>262</v>
      </c>
      <c r="C269" s="1386"/>
      <c r="D269" s="1386"/>
      <c r="E269" s="1386"/>
      <c r="F269" s="1386"/>
      <c r="G269" s="1387"/>
      <c r="H269" s="1386"/>
      <c r="I269" s="1386"/>
      <c r="J269" s="1386"/>
      <c r="K269" s="1386"/>
      <c r="L269" s="1386"/>
      <c r="M269" s="1387"/>
      <c r="N269" s="1386"/>
      <c r="O269" s="1386"/>
      <c r="P269" s="1895"/>
    </row>
    <row r="270" spans="1:16" ht="16.5" x14ac:dyDescent="0.3">
      <c r="A270" s="1904"/>
      <c r="B270" s="1047">
        <v>263</v>
      </c>
      <c r="C270" s="1386"/>
      <c r="D270" s="1386"/>
      <c r="E270" s="1386"/>
      <c r="F270" s="1386"/>
      <c r="G270" s="1387"/>
      <c r="H270" s="1386"/>
      <c r="I270" s="1386"/>
      <c r="J270" s="1386"/>
      <c r="K270" s="1386"/>
      <c r="L270" s="1386"/>
      <c r="M270" s="1387"/>
      <c r="N270" s="1386"/>
      <c r="O270" s="1386"/>
      <c r="P270" s="1895"/>
    </row>
    <row r="271" spans="1:16" ht="16.5" x14ac:dyDescent="0.3">
      <c r="A271" s="1904"/>
      <c r="B271" s="1047">
        <v>264</v>
      </c>
      <c r="C271" s="1386"/>
      <c r="D271" s="1386"/>
      <c r="E271" s="1386"/>
      <c r="F271" s="1386"/>
      <c r="G271" s="1387"/>
      <c r="H271" s="1386"/>
      <c r="I271" s="1386"/>
      <c r="J271" s="1386"/>
      <c r="K271" s="1386"/>
      <c r="L271" s="1386"/>
      <c r="M271" s="1387"/>
      <c r="N271" s="1386"/>
      <c r="O271" s="1386"/>
      <c r="P271" s="1895"/>
    </row>
    <row r="272" spans="1:16" ht="16.5" x14ac:dyDescent="0.3">
      <c r="A272" s="1904"/>
      <c r="B272" s="1047">
        <v>265</v>
      </c>
      <c r="C272" s="1386"/>
      <c r="D272" s="1386"/>
      <c r="E272" s="1386"/>
      <c r="F272" s="1386"/>
      <c r="G272" s="1387"/>
      <c r="H272" s="1386"/>
      <c r="I272" s="1386"/>
      <c r="J272" s="1386"/>
      <c r="K272" s="1386"/>
      <c r="L272" s="1386"/>
      <c r="M272" s="1387"/>
      <c r="N272" s="1386"/>
      <c r="O272" s="1386"/>
      <c r="P272" s="1895"/>
    </row>
    <row r="273" spans="1:16" ht="16.5" x14ac:dyDescent="0.3">
      <c r="A273" s="1904"/>
      <c r="B273" s="1047">
        <v>266</v>
      </c>
      <c r="C273" s="1386"/>
      <c r="D273" s="1386"/>
      <c r="E273" s="1386"/>
      <c r="F273" s="1386"/>
      <c r="G273" s="1387"/>
      <c r="H273" s="1386"/>
      <c r="I273" s="1386"/>
      <c r="J273" s="1386"/>
      <c r="K273" s="1386"/>
      <c r="L273" s="1386"/>
      <c r="M273" s="1387"/>
      <c r="N273" s="1386"/>
      <c r="O273" s="1386"/>
      <c r="P273" s="1895"/>
    </row>
    <row r="274" spans="1:16" ht="16.5" x14ac:dyDescent="0.3">
      <c r="A274" s="1904"/>
      <c r="B274" s="1047">
        <v>267</v>
      </c>
      <c r="C274" s="1386"/>
      <c r="D274" s="1386"/>
      <c r="E274" s="1386"/>
      <c r="F274" s="1386"/>
      <c r="G274" s="1387"/>
      <c r="H274" s="1386"/>
      <c r="I274" s="1386"/>
      <c r="J274" s="1386"/>
      <c r="K274" s="1386"/>
      <c r="L274" s="1386"/>
      <c r="M274" s="1387"/>
      <c r="N274" s="1386"/>
      <c r="O274" s="1386"/>
      <c r="P274" s="1895"/>
    </row>
    <row r="275" spans="1:16" ht="16.5" x14ac:dyDescent="0.3">
      <c r="A275" s="1904"/>
      <c r="B275" s="1047">
        <v>268</v>
      </c>
      <c r="C275" s="1386"/>
      <c r="D275" s="1386"/>
      <c r="E275" s="1386"/>
      <c r="F275" s="1386"/>
      <c r="G275" s="1387"/>
      <c r="H275" s="1386"/>
      <c r="I275" s="1386"/>
      <c r="J275" s="1386"/>
      <c r="K275" s="1386"/>
      <c r="L275" s="1386"/>
      <c r="M275" s="1387"/>
      <c r="N275" s="1386"/>
      <c r="O275" s="1386"/>
      <c r="P275" s="1895"/>
    </row>
    <row r="276" spans="1:16" ht="16.5" x14ac:dyDescent="0.3">
      <c r="A276" s="1904"/>
      <c r="B276" s="1047">
        <v>269</v>
      </c>
      <c r="C276" s="1386"/>
      <c r="D276" s="1386"/>
      <c r="E276" s="1386"/>
      <c r="F276" s="1386"/>
      <c r="G276" s="1387"/>
      <c r="H276" s="1386"/>
      <c r="I276" s="1386"/>
      <c r="J276" s="1386"/>
      <c r="K276" s="1386"/>
      <c r="L276" s="1386"/>
      <c r="M276" s="1387"/>
      <c r="N276" s="1386"/>
      <c r="O276" s="1386"/>
      <c r="P276" s="1895"/>
    </row>
    <row r="277" spans="1:16" ht="16.5" x14ac:dyDescent="0.3">
      <c r="A277" s="1904"/>
      <c r="B277" s="1047">
        <v>270</v>
      </c>
      <c r="C277" s="1386"/>
      <c r="D277" s="1386"/>
      <c r="E277" s="1386"/>
      <c r="F277" s="1386"/>
      <c r="G277" s="1387"/>
      <c r="H277" s="1386"/>
      <c r="I277" s="1386"/>
      <c r="J277" s="1386"/>
      <c r="K277" s="1386"/>
      <c r="L277" s="1386"/>
      <c r="M277" s="1387"/>
      <c r="N277" s="1386"/>
      <c r="O277" s="1386"/>
      <c r="P277" s="1895"/>
    </row>
    <row r="278" spans="1:16" ht="16.5" x14ac:dyDescent="0.3">
      <c r="A278" s="1904"/>
      <c r="B278" s="1047">
        <v>271</v>
      </c>
      <c r="C278" s="1386"/>
      <c r="D278" s="1386"/>
      <c r="E278" s="1386"/>
      <c r="F278" s="1386"/>
      <c r="G278" s="1387"/>
      <c r="H278" s="1386"/>
      <c r="I278" s="1386"/>
      <c r="J278" s="1386"/>
      <c r="K278" s="1386"/>
      <c r="L278" s="1386"/>
      <c r="M278" s="1387"/>
      <c r="N278" s="1386"/>
      <c r="O278" s="1386"/>
      <c r="P278" s="1895"/>
    </row>
    <row r="279" spans="1:16" ht="16.5" x14ac:dyDescent="0.3">
      <c r="A279" s="1904"/>
      <c r="B279" s="1047">
        <v>272</v>
      </c>
      <c r="C279" s="1386"/>
      <c r="D279" s="1386"/>
      <c r="E279" s="1386"/>
      <c r="F279" s="1386"/>
      <c r="G279" s="1387"/>
      <c r="H279" s="1386"/>
      <c r="I279" s="1386"/>
      <c r="J279" s="1386"/>
      <c r="K279" s="1386"/>
      <c r="L279" s="1386"/>
      <c r="M279" s="1387"/>
      <c r="N279" s="1386"/>
      <c r="O279" s="1386"/>
      <c r="P279" s="1895"/>
    </row>
    <row r="280" spans="1:16" ht="16.5" x14ac:dyDescent="0.3">
      <c r="A280" s="1904"/>
      <c r="B280" s="1047">
        <v>273</v>
      </c>
      <c r="C280" s="1386"/>
      <c r="D280" s="1363"/>
      <c r="E280" s="1363"/>
      <c r="F280" s="1363"/>
      <c r="G280" s="1365"/>
      <c r="H280" s="1363"/>
      <c r="I280" s="1363"/>
      <c r="J280" s="1363"/>
      <c r="K280" s="1363"/>
      <c r="L280" s="1363"/>
      <c r="M280" s="1365"/>
      <c r="N280" s="1363"/>
      <c r="O280" s="1363"/>
      <c r="P280" s="1896"/>
    </row>
    <row r="281" spans="1:16" ht="16.5" x14ac:dyDescent="0.3">
      <c r="A281" s="1904"/>
      <c r="B281" s="1047">
        <v>274</v>
      </c>
      <c r="C281" s="1386"/>
      <c r="D281" s="1059"/>
      <c r="E281" s="612" t="s">
        <v>740</v>
      </c>
      <c r="F281" s="1060"/>
      <c r="G281" s="1040"/>
      <c r="H281" s="612"/>
      <c r="I281" s="612"/>
      <c r="J281" s="612"/>
      <c r="K281" s="612"/>
      <c r="L281" s="612" t="s">
        <v>740</v>
      </c>
      <c r="M281" s="1059"/>
      <c r="N281" s="612"/>
      <c r="O281" s="612"/>
      <c r="P281" s="1041"/>
    </row>
    <row r="282" spans="1:16" ht="16.5" x14ac:dyDescent="0.3">
      <c r="A282" s="1904"/>
      <c r="B282" s="1047">
        <v>275</v>
      </c>
      <c r="C282" s="1386" t="s">
        <v>741</v>
      </c>
      <c r="D282" s="1364"/>
      <c r="E282" s="1362" t="s">
        <v>8</v>
      </c>
      <c r="F282" s="1362"/>
      <c r="G282" s="1364"/>
      <c r="H282" s="1362"/>
      <c r="I282" s="1362"/>
      <c r="J282" s="1362"/>
      <c r="K282" s="1362"/>
      <c r="L282" s="1362"/>
      <c r="M282" s="1364"/>
      <c r="N282" s="1362"/>
      <c r="O282" s="1362"/>
      <c r="P282" s="1894" t="s">
        <v>8</v>
      </c>
    </row>
    <row r="283" spans="1:16" ht="16.5" x14ac:dyDescent="0.3">
      <c r="A283" s="1904"/>
      <c r="B283" s="1047">
        <v>276</v>
      </c>
      <c r="C283" s="1386"/>
      <c r="D283" s="1365"/>
      <c r="E283" s="1363"/>
      <c r="F283" s="1363"/>
      <c r="G283" s="1365"/>
      <c r="H283" s="1363"/>
      <c r="I283" s="1363"/>
      <c r="J283" s="1363"/>
      <c r="K283" s="1363"/>
      <c r="L283" s="1363"/>
      <c r="M283" s="1365"/>
      <c r="N283" s="1363"/>
      <c r="O283" s="1363"/>
      <c r="P283" s="1896"/>
    </row>
    <row r="284" spans="1:16" ht="16.5" x14ac:dyDescent="0.3">
      <c r="A284" s="1904"/>
      <c r="B284" s="1047">
        <v>277</v>
      </c>
      <c r="C284" s="1386"/>
      <c r="D284" s="1892" t="s">
        <v>8</v>
      </c>
      <c r="E284" s="1362"/>
      <c r="F284" s="1362"/>
      <c r="G284" s="1364"/>
      <c r="H284" s="1362"/>
      <c r="I284" s="1362"/>
      <c r="J284" s="1362"/>
      <c r="K284" s="1362"/>
      <c r="L284" s="1362" t="s">
        <v>8</v>
      </c>
      <c r="M284" s="1364"/>
      <c r="N284" s="1362"/>
      <c r="O284" s="1362"/>
      <c r="P284" s="1894"/>
    </row>
    <row r="285" spans="1:16" ht="16.5" x14ac:dyDescent="0.3">
      <c r="A285" s="1904"/>
      <c r="B285" s="1047">
        <v>278</v>
      </c>
      <c r="C285" s="1386"/>
      <c r="D285" s="1893"/>
      <c r="E285" s="1363"/>
      <c r="F285" s="1363"/>
      <c r="G285" s="1365"/>
      <c r="H285" s="1363"/>
      <c r="I285" s="1363"/>
      <c r="J285" s="1363"/>
      <c r="K285" s="1363"/>
      <c r="L285" s="1363"/>
      <c r="M285" s="1365"/>
      <c r="N285" s="1363"/>
      <c r="O285" s="1363"/>
      <c r="P285" s="1896"/>
    </row>
    <row r="286" spans="1:16" ht="16.5" x14ac:dyDescent="0.3">
      <c r="A286" s="1904"/>
      <c r="B286" s="1047">
        <v>279</v>
      </c>
      <c r="C286" s="1386"/>
      <c r="D286" s="1387"/>
      <c r="E286" s="1386" t="s">
        <v>742</v>
      </c>
      <c r="F286" s="1386"/>
      <c r="G286" s="1364"/>
      <c r="H286" s="1362"/>
      <c r="I286" s="1362"/>
      <c r="J286" s="1362"/>
      <c r="K286" s="1362"/>
      <c r="L286" s="1362"/>
      <c r="M286" s="1387"/>
      <c r="N286" s="1386"/>
      <c r="O286" s="1386"/>
      <c r="P286" s="1900" t="s">
        <v>742</v>
      </c>
    </row>
    <row r="287" spans="1:16" ht="16.5" x14ac:dyDescent="0.3">
      <c r="A287" s="1904"/>
      <c r="B287" s="1047">
        <v>280</v>
      </c>
      <c r="C287" s="1386"/>
      <c r="D287" s="1387"/>
      <c r="E287" s="1386"/>
      <c r="F287" s="1386"/>
      <c r="G287" s="1387"/>
      <c r="H287" s="1386"/>
      <c r="I287" s="1386"/>
      <c r="J287" s="1386"/>
      <c r="K287" s="1386"/>
      <c r="L287" s="1386"/>
      <c r="M287" s="1387"/>
      <c r="N287" s="1386"/>
      <c r="O287" s="1386"/>
      <c r="P287" s="1901"/>
    </row>
    <row r="288" spans="1:16" ht="16.5" x14ac:dyDescent="0.3">
      <c r="A288" s="1904"/>
      <c r="B288" s="1047">
        <v>281</v>
      </c>
      <c r="C288" s="1386"/>
      <c r="D288" s="1387"/>
      <c r="E288" s="1386"/>
      <c r="F288" s="1386"/>
      <c r="G288" s="1387"/>
      <c r="H288" s="1386"/>
      <c r="I288" s="1386"/>
      <c r="J288" s="1386"/>
      <c r="K288" s="1386"/>
      <c r="L288" s="1386"/>
      <c r="M288" s="1387"/>
      <c r="N288" s="1386"/>
      <c r="O288" s="1386"/>
      <c r="P288" s="1901"/>
    </row>
    <row r="289" spans="1:16" ht="16.5" x14ac:dyDescent="0.3">
      <c r="A289" s="1904"/>
      <c r="B289" s="1047">
        <v>282</v>
      </c>
      <c r="C289" s="1386"/>
      <c r="D289" s="1387"/>
      <c r="E289" s="1386"/>
      <c r="F289" s="1386"/>
      <c r="G289" s="1387"/>
      <c r="H289" s="1386"/>
      <c r="I289" s="1386"/>
      <c r="J289" s="1386"/>
      <c r="K289" s="1386"/>
      <c r="L289" s="1386"/>
      <c r="M289" s="1387"/>
      <c r="N289" s="1386"/>
      <c r="O289" s="1386"/>
      <c r="P289" s="1901"/>
    </row>
    <row r="290" spans="1:16" ht="16.5" x14ac:dyDescent="0.3">
      <c r="A290" s="1904"/>
      <c r="B290" s="1047">
        <v>283</v>
      </c>
      <c r="C290" s="1386"/>
      <c r="D290" s="1387"/>
      <c r="E290" s="1386"/>
      <c r="F290" s="1386"/>
      <c r="G290" s="1387"/>
      <c r="H290" s="1386"/>
      <c r="I290" s="1386"/>
      <c r="J290" s="1386"/>
      <c r="K290" s="1386"/>
      <c r="L290" s="1386"/>
      <c r="M290" s="1387"/>
      <c r="N290" s="1386"/>
      <c r="O290" s="1386"/>
      <c r="P290" s="1901"/>
    </row>
    <row r="291" spans="1:16" ht="16.5" x14ac:dyDescent="0.3">
      <c r="A291" s="1904"/>
      <c r="B291" s="1047">
        <v>284</v>
      </c>
      <c r="C291" s="1386"/>
      <c r="D291" s="1387"/>
      <c r="E291" s="1386"/>
      <c r="F291" s="1386"/>
      <c r="G291" s="1387"/>
      <c r="H291" s="1386"/>
      <c r="I291" s="1386"/>
      <c r="J291" s="1386"/>
      <c r="K291" s="1386"/>
      <c r="L291" s="1386"/>
      <c r="M291" s="1387"/>
      <c r="N291" s="1386"/>
      <c r="O291" s="1386"/>
      <c r="P291" s="1901"/>
    </row>
    <row r="292" spans="1:16" ht="16.5" x14ac:dyDescent="0.3">
      <c r="A292" s="1904"/>
      <c r="B292" s="1047">
        <v>285</v>
      </c>
      <c r="C292" s="1386"/>
      <c r="D292" s="1387"/>
      <c r="E292" s="1386"/>
      <c r="F292" s="1386"/>
      <c r="G292" s="1387"/>
      <c r="H292" s="1386"/>
      <c r="I292" s="1386"/>
      <c r="J292" s="1386"/>
      <c r="K292" s="1386"/>
      <c r="L292" s="1386"/>
      <c r="M292" s="1387"/>
      <c r="N292" s="1386"/>
      <c r="O292" s="1386"/>
      <c r="P292" s="1901"/>
    </row>
    <row r="293" spans="1:16" ht="16.5" x14ac:dyDescent="0.3">
      <c r="A293" s="1904"/>
      <c r="B293" s="1047">
        <v>286</v>
      </c>
      <c r="C293" s="1386"/>
      <c r="D293" s="1387"/>
      <c r="E293" s="1386"/>
      <c r="F293" s="1386"/>
      <c r="G293" s="1387"/>
      <c r="H293" s="1386"/>
      <c r="I293" s="1386"/>
      <c r="J293" s="1386"/>
      <c r="K293" s="1386"/>
      <c r="L293" s="1386"/>
      <c r="M293" s="1387"/>
      <c r="N293" s="1386"/>
      <c r="O293" s="1386"/>
      <c r="P293" s="1901"/>
    </row>
    <row r="294" spans="1:16" ht="16.5" x14ac:dyDescent="0.3">
      <c r="A294" s="1904"/>
      <c r="B294" s="1047">
        <v>287</v>
      </c>
      <c r="C294" s="1386"/>
      <c r="D294" s="1387"/>
      <c r="E294" s="1386"/>
      <c r="F294" s="1386"/>
      <c r="G294" s="1387"/>
      <c r="H294" s="1386"/>
      <c r="I294" s="1386"/>
      <c r="J294" s="1386"/>
      <c r="K294" s="1386"/>
      <c r="L294" s="1386"/>
      <c r="M294" s="1387"/>
      <c r="N294" s="1386"/>
      <c r="O294" s="1386"/>
      <c r="P294" s="1901"/>
    </row>
    <row r="295" spans="1:16" ht="16.5" x14ac:dyDescent="0.3">
      <c r="A295" s="1904"/>
      <c r="B295" s="1047">
        <v>288</v>
      </c>
      <c r="C295" s="1386"/>
      <c r="D295" s="1387"/>
      <c r="E295" s="1386"/>
      <c r="F295" s="1386"/>
      <c r="G295" s="1387"/>
      <c r="H295" s="1386"/>
      <c r="I295" s="1386"/>
      <c r="J295" s="1386"/>
      <c r="K295" s="1386"/>
      <c r="L295" s="1386"/>
      <c r="M295" s="1387"/>
      <c r="N295" s="1386"/>
      <c r="O295" s="1386"/>
      <c r="P295" s="1901"/>
    </row>
    <row r="296" spans="1:16" ht="16.5" x14ac:dyDescent="0.3">
      <c r="A296" s="1904"/>
      <c r="B296" s="1047">
        <v>289</v>
      </c>
      <c r="C296" s="1386"/>
      <c r="D296" s="1387"/>
      <c r="E296" s="1386"/>
      <c r="F296" s="1386"/>
      <c r="G296" s="1387"/>
      <c r="H296" s="1386"/>
      <c r="I296" s="1386"/>
      <c r="J296" s="1386"/>
      <c r="K296" s="1386"/>
      <c r="L296" s="1386"/>
      <c r="M296" s="1387"/>
      <c r="N296" s="1386"/>
      <c r="O296" s="1386"/>
      <c r="P296" s="1901"/>
    </row>
    <row r="297" spans="1:16" ht="16.5" x14ac:dyDescent="0.3">
      <c r="A297" s="1904"/>
      <c r="B297" s="1047">
        <v>290</v>
      </c>
      <c r="C297" s="1386"/>
      <c r="D297" s="1387"/>
      <c r="E297" s="1386"/>
      <c r="F297" s="1386"/>
      <c r="G297" s="1387"/>
      <c r="H297" s="1386"/>
      <c r="I297" s="1386"/>
      <c r="J297" s="1386"/>
      <c r="K297" s="1386"/>
      <c r="L297" s="1386"/>
      <c r="M297" s="1387"/>
      <c r="N297" s="1386"/>
      <c r="O297" s="1386"/>
      <c r="P297" s="1901"/>
    </row>
    <row r="298" spans="1:16" ht="16.5" x14ac:dyDescent="0.3">
      <c r="A298" s="1904"/>
      <c r="B298" s="1047">
        <v>291</v>
      </c>
      <c r="C298" s="1386"/>
      <c r="D298" s="1387"/>
      <c r="E298" s="1386"/>
      <c r="F298" s="1386"/>
      <c r="G298" s="1387"/>
      <c r="H298" s="1386"/>
      <c r="I298" s="1386"/>
      <c r="J298" s="1386"/>
      <c r="K298" s="1386"/>
      <c r="L298" s="1386"/>
      <c r="M298" s="1387"/>
      <c r="N298" s="1386"/>
      <c r="O298" s="1386"/>
      <c r="P298" s="1901"/>
    </row>
    <row r="299" spans="1:16" ht="16.5" x14ac:dyDescent="0.3">
      <c r="A299" s="1904"/>
      <c r="B299" s="1047">
        <v>292</v>
      </c>
      <c r="C299" s="1386"/>
      <c r="D299" s="1387"/>
      <c r="E299" s="1386"/>
      <c r="F299" s="1386"/>
      <c r="G299" s="1387"/>
      <c r="H299" s="1386"/>
      <c r="I299" s="1386"/>
      <c r="J299" s="1386"/>
      <c r="K299" s="1386"/>
      <c r="L299" s="1386"/>
      <c r="M299" s="1387"/>
      <c r="N299" s="1386"/>
      <c r="O299" s="1386"/>
      <c r="P299" s="1901"/>
    </row>
    <row r="300" spans="1:16" ht="16.5" x14ac:dyDescent="0.3">
      <c r="A300" s="1904"/>
      <c r="B300" s="1047">
        <v>293</v>
      </c>
      <c r="C300" s="1386"/>
      <c r="D300" s="1387"/>
      <c r="E300" s="1386"/>
      <c r="F300" s="1386"/>
      <c r="G300" s="1387"/>
      <c r="H300" s="1386"/>
      <c r="I300" s="1386"/>
      <c r="J300" s="1386"/>
      <c r="K300" s="1386"/>
      <c r="L300" s="1386"/>
      <c r="M300" s="1387"/>
      <c r="N300" s="1386"/>
      <c r="O300" s="1386"/>
      <c r="P300" s="1901"/>
    </row>
    <row r="301" spans="1:16" ht="16.5" x14ac:dyDescent="0.3">
      <c r="A301" s="1904"/>
      <c r="B301" s="1047">
        <v>294</v>
      </c>
      <c r="C301" s="1386"/>
      <c r="D301" s="1387"/>
      <c r="E301" s="1386"/>
      <c r="F301" s="1386"/>
      <c r="G301" s="1387"/>
      <c r="H301" s="1386"/>
      <c r="I301" s="1386"/>
      <c r="J301" s="1386"/>
      <c r="K301" s="1386"/>
      <c r="L301" s="1386"/>
      <c r="M301" s="1387"/>
      <c r="N301" s="1386"/>
      <c r="O301" s="1386"/>
      <c r="P301" s="1901"/>
    </row>
    <row r="302" spans="1:16" ht="16.5" x14ac:dyDescent="0.3">
      <c r="A302" s="1904"/>
      <c r="B302" s="1047">
        <v>295</v>
      </c>
      <c r="C302" s="1386"/>
      <c r="D302" s="1387"/>
      <c r="E302" s="1386"/>
      <c r="F302" s="1386"/>
      <c r="G302" s="1387"/>
      <c r="H302" s="1386"/>
      <c r="I302" s="1386"/>
      <c r="J302" s="1386"/>
      <c r="K302" s="1386"/>
      <c r="L302" s="1386"/>
      <c r="M302" s="1387"/>
      <c r="N302" s="1386"/>
      <c r="O302" s="1386"/>
      <c r="P302" s="1901"/>
    </row>
    <row r="303" spans="1:16" ht="16.5" x14ac:dyDescent="0.3">
      <c r="A303" s="1904"/>
      <c r="B303" s="1047">
        <v>296</v>
      </c>
      <c r="C303" s="1386"/>
      <c r="D303" s="1387"/>
      <c r="E303" s="1386"/>
      <c r="F303" s="1386"/>
      <c r="G303" s="1387"/>
      <c r="H303" s="1386"/>
      <c r="I303" s="1386"/>
      <c r="J303" s="1386"/>
      <c r="K303" s="1386"/>
      <c r="L303" s="1386"/>
      <c r="M303" s="1387"/>
      <c r="N303" s="1386"/>
      <c r="O303" s="1386"/>
      <c r="P303" s="1901"/>
    </row>
    <row r="304" spans="1:16" ht="16.5" x14ac:dyDescent="0.3">
      <c r="A304" s="1909"/>
      <c r="B304" s="1047">
        <v>297</v>
      </c>
      <c r="C304" s="1363"/>
      <c r="D304" s="1365"/>
      <c r="E304" s="1363"/>
      <c r="F304" s="1363"/>
      <c r="G304" s="1365"/>
      <c r="H304" s="1363"/>
      <c r="I304" s="1363"/>
      <c r="J304" s="1363"/>
      <c r="K304" s="1363"/>
      <c r="L304" s="1363"/>
      <c r="M304" s="1365"/>
      <c r="N304" s="1363"/>
      <c r="O304" s="1363"/>
      <c r="P304" s="1902"/>
    </row>
    <row r="305" spans="1:16" ht="17.25" customHeight="1" x14ac:dyDescent="0.35">
      <c r="A305" s="1903" t="s">
        <v>123</v>
      </c>
      <c r="B305" s="1047">
        <v>298</v>
      </c>
      <c r="C305" s="23"/>
      <c r="D305" s="1040" t="s">
        <v>743</v>
      </c>
      <c r="E305" s="612"/>
      <c r="F305" s="612"/>
      <c r="G305" s="1040"/>
      <c r="H305" s="612"/>
      <c r="I305" s="612"/>
      <c r="J305" s="612"/>
      <c r="K305" s="612"/>
      <c r="L305" s="1040" t="s">
        <v>743</v>
      </c>
      <c r="M305" s="1040"/>
      <c r="N305" s="612"/>
      <c r="O305" s="612"/>
      <c r="P305" s="1041"/>
    </row>
    <row r="306" spans="1:16" ht="16.5" x14ac:dyDescent="0.3">
      <c r="A306" s="1904"/>
      <c r="B306" s="1048">
        <v>299</v>
      </c>
      <c r="C306" s="1362"/>
      <c r="D306" s="1364"/>
      <c r="E306" s="1362" t="s">
        <v>8</v>
      </c>
      <c r="F306" s="1362"/>
      <c r="G306" s="1364" t="s">
        <v>8</v>
      </c>
      <c r="H306" s="1362"/>
      <c r="I306" s="1362"/>
      <c r="J306" s="1362"/>
      <c r="K306" s="1362"/>
      <c r="L306" s="1362"/>
      <c r="M306" s="1364"/>
      <c r="N306" s="1362" t="s">
        <v>8</v>
      </c>
      <c r="O306" s="1362"/>
      <c r="P306" s="1894"/>
    </row>
    <row r="307" spans="1:16" ht="16.5" x14ac:dyDescent="0.3">
      <c r="A307" s="1904"/>
      <c r="B307" s="1048">
        <v>300</v>
      </c>
      <c r="C307" s="1386"/>
      <c r="D307" s="1387"/>
      <c r="E307" s="1386"/>
      <c r="F307" s="1386"/>
      <c r="G307" s="1387"/>
      <c r="H307" s="1386"/>
      <c r="I307" s="1386"/>
      <c r="J307" s="1386"/>
      <c r="K307" s="1386"/>
      <c r="L307" s="1386"/>
      <c r="M307" s="1387"/>
      <c r="N307" s="1386"/>
      <c r="O307" s="1386"/>
      <c r="P307" s="1895"/>
    </row>
    <row r="308" spans="1:16" ht="16.5" x14ac:dyDescent="0.3">
      <c r="A308" s="1904"/>
      <c r="B308" s="1048">
        <v>301</v>
      </c>
      <c r="C308" s="1363"/>
      <c r="D308" s="1365"/>
      <c r="E308" s="1363"/>
      <c r="F308" s="1363"/>
      <c r="G308" s="1365"/>
      <c r="H308" s="1363"/>
      <c r="I308" s="1363"/>
      <c r="J308" s="1363"/>
      <c r="K308" s="1363"/>
      <c r="L308" s="1363"/>
      <c r="M308" s="1365"/>
      <c r="N308" s="1363"/>
      <c r="O308" s="1363"/>
      <c r="P308" s="1896"/>
    </row>
    <row r="309" spans="1:16" ht="17.25" customHeight="1" x14ac:dyDescent="0.3">
      <c r="A309" s="1904"/>
      <c r="B309" s="1047">
        <v>302</v>
      </c>
      <c r="C309" s="1890"/>
      <c r="D309" s="1364"/>
      <c r="E309" s="1362"/>
      <c r="F309" s="1362" t="s">
        <v>8</v>
      </c>
      <c r="G309" s="1364"/>
      <c r="H309" s="1362"/>
      <c r="I309" s="1362"/>
      <c r="J309" s="1362" t="s">
        <v>8</v>
      </c>
      <c r="K309" s="1362"/>
      <c r="L309" s="1362"/>
      <c r="M309" s="1364"/>
      <c r="N309" s="1362" t="s">
        <v>8</v>
      </c>
      <c r="O309" s="1362"/>
      <c r="P309" s="1894"/>
    </row>
    <row r="310" spans="1:16" ht="16.5" x14ac:dyDescent="0.3">
      <c r="A310" s="1904"/>
      <c r="B310" s="1047">
        <v>303</v>
      </c>
      <c r="C310" s="1891"/>
      <c r="D310" s="1365"/>
      <c r="E310" s="1363"/>
      <c r="F310" s="1363"/>
      <c r="G310" s="1365"/>
      <c r="H310" s="1363"/>
      <c r="I310" s="1363"/>
      <c r="J310" s="1363"/>
      <c r="K310" s="1363"/>
      <c r="L310" s="1363"/>
      <c r="M310" s="1365"/>
      <c r="N310" s="1363"/>
      <c r="O310" s="1363"/>
      <c r="P310" s="1896"/>
    </row>
    <row r="311" spans="1:16" x14ac:dyDescent="0.35">
      <c r="A311" s="1904"/>
      <c r="B311" s="1047">
        <v>304</v>
      </c>
      <c r="C311" s="23"/>
      <c r="D311" s="1084" t="s">
        <v>8</v>
      </c>
      <c r="E311" s="612"/>
      <c r="F311" s="612"/>
      <c r="G311" s="1040"/>
      <c r="H311" s="612"/>
      <c r="I311" s="612"/>
      <c r="J311" s="612"/>
      <c r="K311" s="612"/>
      <c r="L311" s="612"/>
      <c r="M311" s="1040" t="s">
        <v>8</v>
      </c>
      <c r="N311" s="612"/>
      <c r="O311" s="612"/>
      <c r="P311" s="1041"/>
    </row>
    <row r="312" spans="1:16" x14ac:dyDescent="0.35">
      <c r="A312" s="1904"/>
      <c r="B312" s="1047">
        <v>305</v>
      </c>
      <c r="C312" s="23"/>
      <c r="D312" s="1040"/>
      <c r="E312" s="612"/>
      <c r="F312" s="612" t="s">
        <v>744</v>
      </c>
      <c r="G312" s="1040"/>
      <c r="H312" s="612"/>
      <c r="I312" s="612"/>
      <c r="J312" s="612" t="s">
        <v>744</v>
      </c>
      <c r="K312" s="612"/>
      <c r="L312" s="612"/>
      <c r="M312" s="1040"/>
      <c r="N312" s="612" t="s">
        <v>744</v>
      </c>
      <c r="O312" s="612"/>
      <c r="P312" s="1041"/>
    </row>
    <row r="313" spans="1:16" x14ac:dyDescent="0.35">
      <c r="A313" s="1904"/>
      <c r="B313" s="1047">
        <v>306</v>
      </c>
      <c r="C313" s="23"/>
      <c r="D313" s="612" t="s">
        <v>745</v>
      </c>
      <c r="E313" s="612"/>
      <c r="F313" s="612"/>
      <c r="G313" s="1040"/>
      <c r="H313" s="612"/>
      <c r="I313" s="612"/>
      <c r="J313" s="612"/>
      <c r="K313" s="612"/>
      <c r="L313" s="612"/>
      <c r="M313" s="612" t="s">
        <v>745</v>
      </c>
      <c r="N313" s="612"/>
      <c r="O313" s="612"/>
      <c r="P313" s="1041"/>
    </row>
    <row r="314" spans="1:16" x14ac:dyDescent="0.35">
      <c r="A314" s="1904"/>
      <c r="B314" s="1047">
        <v>307</v>
      </c>
      <c r="C314" s="23" t="s">
        <v>746</v>
      </c>
      <c r="D314" s="1040"/>
      <c r="E314" s="612"/>
      <c r="F314" s="612" t="s">
        <v>744</v>
      </c>
      <c r="G314" s="1040"/>
      <c r="H314" s="612"/>
      <c r="I314" s="612"/>
      <c r="J314" s="612" t="s">
        <v>744</v>
      </c>
      <c r="K314" s="612"/>
      <c r="L314" s="612"/>
      <c r="M314" s="1040"/>
      <c r="N314" s="612" t="s">
        <v>744</v>
      </c>
      <c r="O314" s="612"/>
      <c r="P314" s="1041"/>
    </row>
    <row r="315" spans="1:16" ht="16.5" x14ac:dyDescent="0.3">
      <c r="A315" s="1904"/>
      <c r="B315" s="1048">
        <v>308</v>
      </c>
      <c r="C315" s="1362"/>
      <c r="D315" s="1364"/>
      <c r="E315" s="1362" t="s">
        <v>755</v>
      </c>
      <c r="F315" s="1362"/>
      <c r="G315" s="1362" t="s">
        <v>755</v>
      </c>
      <c r="H315" s="1362"/>
      <c r="I315" s="1362"/>
      <c r="J315" s="1362"/>
      <c r="K315" s="1362"/>
      <c r="L315" s="1362"/>
      <c r="M315" s="1364"/>
      <c r="N315" s="1362" t="s">
        <v>755</v>
      </c>
      <c r="O315" s="1362"/>
      <c r="P315" s="1894"/>
    </row>
    <row r="316" spans="1:16" ht="16.5" x14ac:dyDescent="0.3">
      <c r="A316" s="1904"/>
      <c r="B316" s="1048">
        <v>309</v>
      </c>
      <c r="C316" s="1386"/>
      <c r="D316" s="1387"/>
      <c r="E316" s="1386"/>
      <c r="F316" s="1386"/>
      <c r="G316" s="1386"/>
      <c r="H316" s="1386"/>
      <c r="I316" s="1386"/>
      <c r="J316" s="1386"/>
      <c r="K316" s="1386"/>
      <c r="L316" s="1386"/>
      <c r="M316" s="1387"/>
      <c r="N316" s="1386"/>
      <c r="O316" s="1386"/>
      <c r="P316" s="1895"/>
    </row>
    <row r="317" spans="1:16" ht="16.5" x14ac:dyDescent="0.3">
      <c r="A317" s="1904"/>
      <c r="B317" s="1048">
        <v>310</v>
      </c>
      <c r="C317" s="1363"/>
      <c r="D317" s="1365"/>
      <c r="E317" s="1363"/>
      <c r="F317" s="1363"/>
      <c r="G317" s="1363"/>
      <c r="H317" s="1363"/>
      <c r="I317" s="1363"/>
      <c r="J317" s="1363"/>
      <c r="K317" s="1363"/>
      <c r="L317" s="1363"/>
      <c r="M317" s="1365"/>
      <c r="N317" s="1363"/>
      <c r="O317" s="1363"/>
      <c r="P317" s="1896"/>
    </row>
    <row r="318" spans="1:16" ht="17.25" customHeight="1" x14ac:dyDescent="0.3">
      <c r="A318" s="1904"/>
      <c r="B318" s="1047">
        <v>311</v>
      </c>
      <c r="C318" s="1890"/>
      <c r="D318" s="1892" t="s">
        <v>8</v>
      </c>
      <c r="E318" s="1362"/>
      <c r="F318" s="1362"/>
      <c r="G318" s="1364"/>
      <c r="H318" s="1362"/>
      <c r="I318" s="1362"/>
      <c r="J318" s="1362"/>
      <c r="K318" s="1362"/>
      <c r="L318" s="1362" t="s">
        <v>8</v>
      </c>
      <c r="M318" s="1364"/>
      <c r="N318" s="1362"/>
      <c r="O318" s="1362"/>
      <c r="P318" s="1894"/>
    </row>
    <row r="319" spans="1:16" ht="16.5" x14ac:dyDescent="0.3">
      <c r="A319" s="1904"/>
      <c r="B319" s="1047">
        <v>312</v>
      </c>
      <c r="C319" s="1891"/>
      <c r="D319" s="1893"/>
      <c r="E319" s="1363"/>
      <c r="F319" s="1363"/>
      <c r="G319" s="1365"/>
      <c r="H319" s="1363"/>
      <c r="I319" s="1363"/>
      <c r="J319" s="1363"/>
      <c r="K319" s="1363"/>
      <c r="L319" s="1363"/>
      <c r="M319" s="1365"/>
      <c r="N319" s="1363"/>
      <c r="O319" s="1363"/>
      <c r="P319" s="1896"/>
    </row>
    <row r="320" spans="1:16" x14ac:dyDescent="0.35">
      <c r="A320" s="1904"/>
      <c r="B320" s="1047">
        <v>313</v>
      </c>
      <c r="C320" s="23"/>
      <c r="D320" s="1084" t="s">
        <v>8</v>
      </c>
      <c r="E320" s="612"/>
      <c r="F320" s="612"/>
      <c r="G320" s="1040"/>
      <c r="H320" s="612"/>
      <c r="I320" s="612"/>
      <c r="J320" s="612"/>
      <c r="K320" s="612"/>
      <c r="L320" s="612" t="s">
        <v>8</v>
      </c>
      <c r="M320" s="1040"/>
      <c r="N320" s="612"/>
      <c r="O320" s="612"/>
      <c r="P320" s="1041"/>
    </row>
    <row r="321" spans="1:16" x14ac:dyDescent="0.35">
      <c r="A321" s="1904"/>
      <c r="B321" s="1047">
        <v>314</v>
      </c>
      <c r="C321" s="23"/>
      <c r="D321" s="1040" t="s">
        <v>747</v>
      </c>
      <c r="F321" s="612"/>
      <c r="G321" s="1040"/>
      <c r="H321" s="612"/>
      <c r="I321" s="612"/>
      <c r="J321" s="612"/>
      <c r="K321" s="612"/>
      <c r="L321" s="1040" t="s">
        <v>747</v>
      </c>
      <c r="M321" s="1040"/>
      <c r="N321" s="612"/>
      <c r="O321" s="612"/>
      <c r="P321" s="1041"/>
    </row>
    <row r="322" spans="1:16" ht="17.25" customHeight="1" x14ac:dyDescent="0.3">
      <c r="A322" s="1904"/>
      <c r="B322" s="1047">
        <v>315</v>
      </c>
      <c r="C322" s="1890"/>
      <c r="D322" s="1364" t="s">
        <v>748</v>
      </c>
      <c r="E322" s="1362"/>
      <c r="F322" s="1362"/>
      <c r="G322" s="1364"/>
      <c r="H322" s="1362"/>
      <c r="I322" s="1362"/>
      <c r="J322" s="1362"/>
      <c r="K322" s="1362"/>
      <c r="L322" s="1364" t="s">
        <v>748</v>
      </c>
      <c r="M322" s="1364"/>
      <c r="N322" s="1362"/>
      <c r="O322" s="1362"/>
      <c r="P322" s="1894"/>
    </row>
    <row r="323" spans="1:16" thickBot="1" x14ac:dyDescent="0.35">
      <c r="A323" s="1905"/>
      <c r="B323" s="1061">
        <v>316</v>
      </c>
      <c r="C323" s="1906"/>
      <c r="D323" s="1899"/>
      <c r="E323" s="1897"/>
      <c r="F323" s="1897"/>
      <c r="G323" s="1899"/>
      <c r="H323" s="1897"/>
      <c r="I323" s="1897"/>
      <c r="J323" s="1897"/>
      <c r="K323" s="1897"/>
      <c r="L323" s="1899"/>
      <c r="M323" s="1899"/>
      <c r="N323" s="1897"/>
      <c r="O323" s="1897"/>
      <c r="P323" s="1898"/>
    </row>
    <row r="324" spans="1:16" ht="50.1" customHeight="1" x14ac:dyDescent="0.3">
      <c r="A324" s="1883" t="s">
        <v>749</v>
      </c>
      <c r="B324" s="1062" t="s">
        <v>750</v>
      </c>
      <c r="C324" s="1063"/>
      <c r="D324" s="1064"/>
      <c r="E324" s="1064"/>
      <c r="F324" s="1064" t="s">
        <v>8</v>
      </c>
      <c r="G324" s="1064"/>
      <c r="H324" s="1064"/>
      <c r="I324" s="1064"/>
      <c r="J324" s="1064"/>
      <c r="K324" s="1064"/>
      <c r="L324" s="1064"/>
      <c r="M324" s="1064"/>
      <c r="N324" s="1064"/>
      <c r="O324" s="1064" t="s">
        <v>8</v>
      </c>
      <c r="P324" s="1065"/>
    </row>
    <row r="325" spans="1:16" ht="45" x14ac:dyDescent="0.3">
      <c r="A325" s="1884"/>
      <c r="B325" s="1066" t="s">
        <v>751</v>
      </c>
      <c r="C325" s="1067"/>
      <c r="D325" s="542"/>
      <c r="E325" s="1067" t="s">
        <v>8</v>
      </c>
      <c r="F325" s="1067"/>
      <c r="G325" s="1067"/>
      <c r="H325" s="1067"/>
      <c r="I325" s="1067"/>
      <c r="J325" s="1067"/>
      <c r="K325" s="1067"/>
      <c r="L325" s="1067"/>
      <c r="M325" s="1067"/>
      <c r="N325" s="1067" t="s">
        <v>8</v>
      </c>
      <c r="O325" s="1067"/>
      <c r="P325" s="1068"/>
    </row>
    <row r="326" spans="1:16" ht="30" x14ac:dyDescent="0.3">
      <c r="A326" s="1884"/>
      <c r="B326" s="1066" t="s">
        <v>752</v>
      </c>
      <c r="C326" s="1067"/>
      <c r="D326" s="1067"/>
      <c r="E326" s="1067" t="s">
        <v>8</v>
      </c>
      <c r="F326" s="1067"/>
      <c r="G326" s="1067"/>
      <c r="H326" s="1067"/>
      <c r="I326" s="1067"/>
      <c r="J326" s="1067"/>
      <c r="K326" s="1067"/>
      <c r="L326" s="1067"/>
      <c r="M326" s="1067"/>
      <c r="N326" s="1067"/>
      <c r="O326" s="1067" t="s">
        <v>8</v>
      </c>
      <c r="P326" s="1068"/>
    </row>
    <row r="327" spans="1:16" ht="45.75" thickBot="1" x14ac:dyDescent="0.35">
      <c r="A327" s="1885"/>
      <c r="B327" s="1069" t="s">
        <v>753</v>
      </c>
      <c r="C327" s="1070"/>
      <c r="D327" s="1070"/>
      <c r="E327" s="1070" t="s">
        <v>8</v>
      </c>
      <c r="F327" s="1070"/>
      <c r="G327" s="1070"/>
      <c r="H327" s="1070"/>
      <c r="I327" s="1070"/>
      <c r="J327" s="1070"/>
      <c r="K327" s="1070"/>
      <c r="L327" s="1070"/>
      <c r="M327" s="1070"/>
      <c r="N327" s="1070"/>
      <c r="O327" s="1070" t="s">
        <v>8</v>
      </c>
      <c r="P327" s="486"/>
    </row>
    <row r="328" spans="1:16" ht="16.5" x14ac:dyDescent="0.3">
      <c r="A328" s="1886" t="s">
        <v>292</v>
      </c>
      <c r="B328" s="1888"/>
      <c r="C328" s="1875"/>
      <c r="D328" s="1875">
        <f t="shared" ref="D328:P328" si="0">COUNTIF(D7:D327, "Y")</f>
        <v>76</v>
      </c>
      <c r="E328" s="1875">
        <f t="shared" si="0"/>
        <v>68</v>
      </c>
      <c r="F328" s="1875">
        <f t="shared" si="0"/>
        <v>5</v>
      </c>
      <c r="G328" s="1875">
        <f t="shared" si="0"/>
        <v>30</v>
      </c>
      <c r="H328" s="1875">
        <f t="shared" si="0"/>
        <v>12</v>
      </c>
      <c r="I328" s="1875">
        <f t="shared" si="0"/>
        <v>7</v>
      </c>
      <c r="J328" s="1875">
        <f t="shared" si="0"/>
        <v>10</v>
      </c>
      <c r="K328" s="1875">
        <f t="shared" si="0"/>
        <v>12</v>
      </c>
      <c r="L328" s="1875">
        <f t="shared" si="0"/>
        <v>73</v>
      </c>
      <c r="M328" s="1875">
        <f t="shared" si="0"/>
        <v>30</v>
      </c>
      <c r="N328" s="1875">
        <f t="shared" si="0"/>
        <v>42</v>
      </c>
      <c r="O328" s="1875">
        <f t="shared" si="0"/>
        <v>5</v>
      </c>
      <c r="P328" s="1875">
        <f t="shared" si="0"/>
        <v>1</v>
      </c>
    </row>
    <row r="329" spans="1:16" ht="17.25" customHeight="1" thickBot="1" x14ac:dyDescent="0.35">
      <c r="A329" s="1887"/>
      <c r="B329" s="1889"/>
      <c r="C329" s="1876"/>
      <c r="D329" s="1876"/>
      <c r="E329" s="1876"/>
      <c r="F329" s="1876"/>
      <c r="G329" s="1876"/>
      <c r="H329" s="1876"/>
      <c r="I329" s="1876"/>
      <c r="J329" s="1876"/>
      <c r="K329" s="1876"/>
      <c r="L329" s="1876"/>
      <c r="M329" s="1876"/>
      <c r="N329" s="1876"/>
      <c r="O329" s="1876"/>
      <c r="P329" s="1876"/>
    </row>
    <row r="330" spans="1:16" thickBot="1" x14ac:dyDescent="0.35">
      <c r="A330" s="2"/>
      <c r="D330" s="594"/>
      <c r="E330" s="594"/>
      <c r="F330" s="594"/>
      <c r="G330" s="594"/>
      <c r="H330" s="594"/>
      <c r="I330" s="594"/>
    </row>
    <row r="331" spans="1:16" ht="16.5" x14ac:dyDescent="0.3">
      <c r="A331" s="2"/>
      <c r="C331" s="305"/>
      <c r="D331" s="1877" t="s">
        <v>754</v>
      </c>
      <c r="E331" s="1878"/>
      <c r="F331" s="1878"/>
      <c r="G331" s="1878"/>
      <c r="H331" s="1878"/>
      <c r="I331" s="1879"/>
    </row>
    <row r="332" spans="1:16" thickBot="1" x14ac:dyDescent="0.35">
      <c r="A332" s="2"/>
      <c r="C332" s="305"/>
      <c r="D332" s="1880"/>
      <c r="E332" s="1881"/>
      <c r="F332" s="1881"/>
      <c r="G332" s="1881"/>
      <c r="H332" s="1881"/>
      <c r="I332" s="1882"/>
    </row>
    <row r="333" spans="1:16" x14ac:dyDescent="0.35">
      <c r="A333" s="2"/>
      <c r="C333" s="305"/>
      <c r="D333" s="1543" t="s">
        <v>680</v>
      </c>
      <c r="E333" s="1545"/>
      <c r="F333" s="1869" t="s">
        <v>681</v>
      </c>
      <c r="G333" s="1870"/>
      <c r="H333" s="1339" t="s">
        <v>682</v>
      </c>
      <c r="I333" s="1540"/>
    </row>
    <row r="334" spans="1:16" ht="16.5" x14ac:dyDescent="0.3">
      <c r="A334" s="2"/>
      <c r="C334" s="305"/>
      <c r="D334" s="1071" t="s">
        <v>683</v>
      </c>
      <c r="E334" s="1021">
        <f>(D328)</f>
        <v>76</v>
      </c>
      <c r="F334" s="1072" t="s">
        <v>686</v>
      </c>
      <c r="G334" s="1072">
        <f>(G328)</f>
        <v>30</v>
      </c>
      <c r="H334" s="1073" t="s">
        <v>690</v>
      </c>
      <c r="I334" s="374">
        <f>(L328)</f>
        <v>73</v>
      </c>
    </row>
    <row r="335" spans="1:16" ht="16.5" x14ac:dyDescent="0.3">
      <c r="A335" s="2"/>
      <c r="C335" s="1074"/>
      <c r="D335" s="1075" t="s">
        <v>684</v>
      </c>
      <c r="E335" s="1076">
        <f>(E328)</f>
        <v>68</v>
      </c>
      <c r="F335" s="1077" t="s">
        <v>683</v>
      </c>
      <c r="G335" s="1077">
        <f>(H328)</f>
        <v>12</v>
      </c>
      <c r="H335" s="1078" t="s">
        <v>691</v>
      </c>
      <c r="I335" s="1079">
        <f>(M328)</f>
        <v>30</v>
      </c>
    </row>
    <row r="336" spans="1:16" ht="16.5" x14ac:dyDescent="0.3">
      <c r="A336" s="2"/>
      <c r="C336" s="305"/>
      <c r="D336" s="1075" t="s">
        <v>685</v>
      </c>
      <c r="E336" s="1076">
        <f>(F328)</f>
        <v>5</v>
      </c>
      <c r="F336" s="1077" t="s">
        <v>684</v>
      </c>
      <c r="G336" s="1077">
        <f>(I328)</f>
        <v>7</v>
      </c>
      <c r="H336" s="1078" t="s">
        <v>692</v>
      </c>
      <c r="I336" s="1025">
        <f>(N328)</f>
        <v>42</v>
      </c>
    </row>
    <row r="337" spans="1:9" ht="16.5" x14ac:dyDescent="0.3">
      <c r="A337" s="2"/>
      <c r="C337" s="305"/>
      <c r="D337" s="1871"/>
      <c r="E337" s="1873"/>
      <c r="F337" s="1080" t="s">
        <v>688</v>
      </c>
      <c r="G337" s="1077">
        <f>(J328)</f>
        <v>10</v>
      </c>
      <c r="H337" s="1078" t="s">
        <v>63</v>
      </c>
      <c r="I337" s="1025">
        <f>(O328)</f>
        <v>5</v>
      </c>
    </row>
    <row r="338" spans="1:9" thickBot="1" x14ac:dyDescent="0.35">
      <c r="A338" s="2"/>
      <c r="C338" s="305"/>
      <c r="D338" s="1872"/>
      <c r="E338" s="1874"/>
      <c r="F338" s="1081" t="s">
        <v>689</v>
      </c>
      <c r="G338" s="1082">
        <f>(K328)</f>
        <v>12</v>
      </c>
      <c r="H338" s="397" t="s">
        <v>693</v>
      </c>
      <c r="I338" s="1083">
        <f>(P328)</f>
        <v>1</v>
      </c>
    </row>
    <row r="339" spans="1:9" ht="16.5" customHeight="1" x14ac:dyDescent="0.3">
      <c r="A339" s="2"/>
    </row>
    <row r="340" spans="1:9" ht="16.5" customHeight="1" x14ac:dyDescent="0.3">
      <c r="A340" s="2"/>
    </row>
    <row r="341" spans="1:9" ht="16.5" x14ac:dyDescent="0.3">
      <c r="A341" s="2"/>
    </row>
    <row r="342" spans="1:9" ht="16.5" x14ac:dyDescent="0.3">
      <c r="A342" s="2"/>
    </row>
    <row r="343" spans="1:9" ht="16.5" x14ac:dyDescent="0.3">
      <c r="A343" s="2"/>
    </row>
    <row r="344" spans="1:9" ht="16.5" x14ac:dyDescent="0.3">
      <c r="A344" s="2"/>
    </row>
    <row r="345" spans="1:9" ht="16.5" x14ac:dyDescent="0.3">
      <c r="A345" s="2"/>
    </row>
    <row r="346" spans="1:9" ht="16.5" x14ac:dyDescent="0.3">
      <c r="A346" s="2"/>
    </row>
    <row r="347" spans="1:9" ht="16.5" x14ac:dyDescent="0.3">
      <c r="A347" s="2"/>
    </row>
    <row r="348" spans="1:9" ht="16.5" x14ac:dyDescent="0.3">
      <c r="A348" s="2"/>
    </row>
    <row r="349" spans="1:9" ht="16.5" x14ac:dyDescent="0.3">
      <c r="A349" s="2"/>
    </row>
    <row r="350" spans="1:9" ht="16.5" x14ac:dyDescent="0.3">
      <c r="A350" s="2"/>
    </row>
    <row r="351" spans="1:9" ht="16.5" x14ac:dyDescent="0.3">
      <c r="A351" s="2"/>
    </row>
    <row r="352" spans="1:9" ht="16.5" x14ac:dyDescent="0.3">
      <c r="A352" s="2"/>
    </row>
    <row r="353" spans="1:1" ht="16.5" x14ac:dyDescent="0.3">
      <c r="A353" s="2"/>
    </row>
    <row r="354" spans="1:1" ht="16.5" x14ac:dyDescent="0.3">
      <c r="A354" s="2"/>
    </row>
    <row r="355" spans="1:1" ht="16.5" x14ac:dyDescent="0.3">
      <c r="A355" s="2"/>
    </row>
    <row r="356" spans="1:1" ht="16.5" x14ac:dyDescent="0.3">
      <c r="A356" s="2"/>
    </row>
    <row r="357" spans="1:1" ht="27.75" customHeight="1" x14ac:dyDescent="0.3">
      <c r="A357" s="2"/>
    </row>
    <row r="358" spans="1:1" ht="16.5" x14ac:dyDescent="0.3">
      <c r="A358" s="2"/>
    </row>
    <row r="359" spans="1:1" ht="16.5" x14ac:dyDescent="0.3">
      <c r="A359" s="2"/>
    </row>
    <row r="360" spans="1:1" ht="16.5" x14ac:dyDescent="0.3">
      <c r="A360" s="2"/>
    </row>
    <row r="361" spans="1:1" ht="16.5" x14ac:dyDescent="0.3">
      <c r="A361" s="2"/>
    </row>
    <row r="362" spans="1:1" ht="16.5" x14ac:dyDescent="0.3">
      <c r="A362" s="2"/>
    </row>
    <row r="363" spans="1:1" ht="16.5" x14ac:dyDescent="0.3">
      <c r="A363" s="2"/>
    </row>
    <row r="364" spans="1:1" ht="16.5" x14ac:dyDescent="0.3">
      <c r="A364" s="2"/>
    </row>
    <row r="365" spans="1:1" ht="16.5" x14ac:dyDescent="0.3">
      <c r="A365" s="2"/>
    </row>
    <row r="366" spans="1:1" ht="16.5" x14ac:dyDescent="0.3">
      <c r="A366" s="2"/>
    </row>
    <row r="367" spans="1:1" ht="16.5" x14ac:dyDescent="0.3">
      <c r="A367" s="2"/>
    </row>
    <row r="370" spans="1:1" ht="17.25" customHeight="1" x14ac:dyDescent="0.35"/>
    <row r="371" spans="1:1" ht="18" customHeight="1" x14ac:dyDescent="0.35"/>
    <row r="373" spans="1:1" ht="17.25" customHeight="1" x14ac:dyDescent="0.35"/>
    <row r="379" spans="1:1" ht="16.5" x14ac:dyDescent="0.3">
      <c r="A379" s="2"/>
    </row>
    <row r="380" spans="1:1" ht="16.5" x14ac:dyDescent="0.3">
      <c r="A380" s="2"/>
    </row>
    <row r="381" spans="1:1" ht="39" customHeight="1" x14ac:dyDescent="0.3">
      <c r="A381" s="2"/>
    </row>
    <row r="382" spans="1:1" ht="24.75" customHeight="1" x14ac:dyDescent="0.3">
      <c r="A382" s="2"/>
    </row>
    <row r="383" spans="1:1" ht="16.5" customHeight="1" x14ac:dyDescent="0.3">
      <c r="A383" s="2"/>
    </row>
    <row r="384" spans="1:1" ht="16.5" customHeight="1" x14ac:dyDescent="0.3">
      <c r="A384" s="2"/>
    </row>
    <row r="385" spans="1:1" ht="16.5" customHeight="1" x14ac:dyDescent="0.3">
      <c r="A385" s="2"/>
    </row>
    <row r="386" spans="1:1" ht="16.5" customHeight="1" x14ac:dyDescent="0.3">
      <c r="A386" s="2"/>
    </row>
    <row r="387" spans="1:1" ht="16.5" customHeight="1" x14ac:dyDescent="0.3">
      <c r="A387" s="2"/>
    </row>
    <row r="388" spans="1:1" ht="16.5" customHeight="1" x14ac:dyDescent="0.3">
      <c r="A388" s="2"/>
    </row>
    <row r="389" spans="1:1" ht="16.5" customHeight="1" x14ac:dyDescent="0.3">
      <c r="A389" s="2"/>
    </row>
    <row r="390" spans="1:1" ht="68.25" customHeight="1" x14ac:dyDescent="0.3">
      <c r="A390" s="2"/>
    </row>
    <row r="391" spans="1:1" ht="16.5" x14ac:dyDescent="0.3">
      <c r="A391" s="2"/>
    </row>
    <row r="392" spans="1:1" ht="16.5" x14ac:dyDescent="0.3">
      <c r="A392" s="2"/>
    </row>
    <row r="393" spans="1:1" ht="16.5" x14ac:dyDescent="0.3">
      <c r="A393" s="2"/>
    </row>
    <row r="394" spans="1:1" ht="16.5" x14ac:dyDescent="0.3">
      <c r="A394" s="2"/>
    </row>
    <row r="395" spans="1:1" ht="16.5" x14ac:dyDescent="0.3">
      <c r="A395" s="2"/>
    </row>
    <row r="396" spans="1:1" ht="16.5" x14ac:dyDescent="0.3">
      <c r="A396" s="2"/>
    </row>
    <row r="397" spans="1:1" ht="16.5" x14ac:dyDescent="0.3">
      <c r="A397" s="2"/>
    </row>
    <row r="398" spans="1:1" ht="16.5" x14ac:dyDescent="0.3">
      <c r="A398" s="2"/>
    </row>
    <row r="399" spans="1:1" ht="16.5" x14ac:dyDescent="0.3">
      <c r="A399" s="2"/>
    </row>
    <row r="400" spans="1:1" ht="16.5" x14ac:dyDescent="0.3">
      <c r="A400" s="2"/>
    </row>
    <row r="401" spans="1:1" ht="16.5" x14ac:dyDescent="0.3">
      <c r="A401" s="2"/>
    </row>
    <row r="402" spans="1:1" ht="16.5" x14ac:dyDescent="0.3">
      <c r="A402" s="2"/>
    </row>
    <row r="403" spans="1:1" ht="16.5" x14ac:dyDescent="0.3">
      <c r="A403" s="2"/>
    </row>
    <row r="404" spans="1:1" ht="16.5" x14ac:dyDescent="0.3">
      <c r="A404" s="2"/>
    </row>
    <row r="405" spans="1:1" ht="16.5" x14ac:dyDescent="0.3">
      <c r="A405" s="2"/>
    </row>
    <row r="406" spans="1:1" ht="16.5" x14ac:dyDescent="0.3">
      <c r="A406" s="2"/>
    </row>
    <row r="407" spans="1:1" ht="16.5" x14ac:dyDescent="0.3">
      <c r="A407" s="2"/>
    </row>
    <row r="408" spans="1:1" ht="16.5" x14ac:dyDescent="0.3">
      <c r="A408" s="2"/>
    </row>
    <row r="409" spans="1:1" ht="16.5" x14ac:dyDescent="0.3">
      <c r="A409" s="2"/>
    </row>
    <row r="410" spans="1:1" ht="16.5" x14ac:dyDescent="0.3">
      <c r="A410" s="2"/>
    </row>
    <row r="411" spans="1:1" ht="16.5" x14ac:dyDescent="0.3">
      <c r="A411" s="2"/>
    </row>
    <row r="412" spans="1:1" ht="16.5" x14ac:dyDescent="0.3">
      <c r="A412" s="2"/>
    </row>
    <row r="413" spans="1:1" ht="16.5" x14ac:dyDescent="0.3">
      <c r="A413" s="2"/>
    </row>
    <row r="414" spans="1:1" ht="16.5" x14ac:dyDescent="0.3">
      <c r="A414" s="2"/>
    </row>
    <row r="415" spans="1:1" ht="16.5" x14ac:dyDescent="0.3">
      <c r="A415" s="2"/>
    </row>
    <row r="416" spans="1:1" ht="16.5" x14ac:dyDescent="0.3">
      <c r="A416" s="2"/>
    </row>
    <row r="417" spans="1:1" ht="16.5" x14ac:dyDescent="0.3">
      <c r="A417" s="2"/>
    </row>
    <row r="418" spans="1:1" ht="16.5" x14ac:dyDescent="0.3">
      <c r="A418" s="2"/>
    </row>
    <row r="419" spans="1:1" ht="16.5" x14ac:dyDescent="0.3">
      <c r="A419" s="2"/>
    </row>
  </sheetData>
  <mergeCells count="590">
    <mergeCell ref="J15:J17"/>
    <mergeCell ref="K15:K17"/>
    <mergeCell ref="H9:H11"/>
    <mergeCell ref="A1:P2"/>
    <mergeCell ref="A4:A5"/>
    <mergeCell ref="B4:B5"/>
    <mergeCell ref="C4:C5"/>
    <mergeCell ref="D4:F4"/>
    <mergeCell ref="G4:K4"/>
    <mergeCell ref="L4:P4"/>
    <mergeCell ref="A3:P3"/>
    <mergeCell ref="N7:N8"/>
    <mergeCell ref="O7:O8"/>
    <mergeCell ref="P7:P8"/>
    <mergeCell ref="L7:L8"/>
    <mergeCell ref="M7:M8"/>
    <mergeCell ref="A7:A11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O15:O17"/>
    <mergeCell ref="P15:P17"/>
    <mergeCell ref="A21:A31"/>
    <mergeCell ref="C24:C26"/>
    <mergeCell ref="D24:D26"/>
    <mergeCell ref="E24:E26"/>
    <mergeCell ref="F24:F26"/>
    <mergeCell ref="G24:G26"/>
    <mergeCell ref="H24:H26"/>
    <mergeCell ref="I24:I26"/>
    <mergeCell ref="L15:L17"/>
    <mergeCell ref="M15:M17"/>
    <mergeCell ref="N15:N17"/>
    <mergeCell ref="N24:N26"/>
    <mergeCell ref="O24:O26"/>
    <mergeCell ref="P24:P26"/>
    <mergeCell ref="A12:A20"/>
    <mergeCell ref="C15:C17"/>
    <mergeCell ref="D15:D17"/>
    <mergeCell ref="E15:E17"/>
    <mergeCell ref="F15:F17"/>
    <mergeCell ref="G15:G17"/>
    <mergeCell ref="H15:H17"/>
    <mergeCell ref="I15:I17"/>
    <mergeCell ref="K32:K33"/>
    <mergeCell ref="L32:L33"/>
    <mergeCell ref="M32:M33"/>
    <mergeCell ref="N32:N33"/>
    <mergeCell ref="I32:I33"/>
    <mergeCell ref="J32:J33"/>
    <mergeCell ref="O44:O45"/>
    <mergeCell ref="P44:P45"/>
    <mergeCell ref="O32:O33"/>
    <mergeCell ref="P32:P33"/>
    <mergeCell ref="N44:N45"/>
    <mergeCell ref="K44:K45"/>
    <mergeCell ref="A49:A92"/>
    <mergeCell ref="D49:D51"/>
    <mergeCell ref="E49:E51"/>
    <mergeCell ref="F49:F51"/>
    <mergeCell ref="G49:G51"/>
    <mergeCell ref="J24:J26"/>
    <mergeCell ref="K24:K26"/>
    <mergeCell ref="L24:L26"/>
    <mergeCell ref="M24:M26"/>
    <mergeCell ref="A32:A48"/>
    <mergeCell ref="C32:C33"/>
    <mergeCell ref="D32:D33"/>
    <mergeCell ref="E32:E33"/>
    <mergeCell ref="F32:F33"/>
    <mergeCell ref="G32:G33"/>
    <mergeCell ref="H32:H33"/>
    <mergeCell ref="C52:C53"/>
    <mergeCell ref="D52:D53"/>
    <mergeCell ref="E52:E53"/>
    <mergeCell ref="F52:F53"/>
    <mergeCell ref="G52:G53"/>
    <mergeCell ref="H52:H53"/>
    <mergeCell ref="L44:L45"/>
    <mergeCell ref="M44:M45"/>
    <mergeCell ref="N64:N65"/>
    <mergeCell ref="O64:O65"/>
    <mergeCell ref="K64:K65"/>
    <mergeCell ref="K52:K53"/>
    <mergeCell ref="L52:L53"/>
    <mergeCell ref="P64:P65"/>
    <mergeCell ref="I52:I53"/>
    <mergeCell ref="J52:J53"/>
    <mergeCell ref="C44:C45"/>
    <mergeCell ref="D44:D45"/>
    <mergeCell ref="E44:E45"/>
    <mergeCell ref="F44:F45"/>
    <mergeCell ref="G44:G45"/>
    <mergeCell ref="H49:H51"/>
    <mergeCell ref="I49:I51"/>
    <mergeCell ref="J49:J51"/>
    <mergeCell ref="I44:I45"/>
    <mergeCell ref="J44:J45"/>
    <mergeCell ref="H44:H45"/>
    <mergeCell ref="K49:K51"/>
    <mergeCell ref="N49:N51"/>
    <mergeCell ref="L49:L51"/>
    <mergeCell ref="M49:M51"/>
    <mergeCell ref="O52:O53"/>
    <mergeCell ref="P52:P53"/>
    <mergeCell ref="O49:O51"/>
    <mergeCell ref="P49:P51"/>
    <mergeCell ref="M52:M53"/>
    <mergeCell ref="N52:N53"/>
    <mergeCell ref="C67:C68"/>
    <mergeCell ref="D67:D68"/>
    <mergeCell ref="E67:E68"/>
    <mergeCell ref="F67:F68"/>
    <mergeCell ref="G67:G68"/>
    <mergeCell ref="N67:N68"/>
    <mergeCell ref="O67:O68"/>
    <mergeCell ref="P67:P68"/>
    <mergeCell ref="M67:M68"/>
    <mergeCell ref="H67:H68"/>
    <mergeCell ref="I67:I68"/>
    <mergeCell ref="J67:J68"/>
    <mergeCell ref="K67:K68"/>
    <mergeCell ref="L67:L68"/>
    <mergeCell ref="D64:D65"/>
    <mergeCell ref="E64:E65"/>
    <mergeCell ref="F64:F65"/>
    <mergeCell ref="G64:G65"/>
    <mergeCell ref="H64:H65"/>
    <mergeCell ref="I64:I65"/>
    <mergeCell ref="J64:J65"/>
    <mergeCell ref="L83:L84"/>
    <mergeCell ref="M83:M84"/>
    <mergeCell ref="M79:M82"/>
    <mergeCell ref="L64:L65"/>
    <mergeCell ref="M64:M65"/>
    <mergeCell ref="N83:N84"/>
    <mergeCell ref="O83:O84"/>
    <mergeCell ref="P79:P82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I79:I82"/>
    <mergeCell ref="J79:J82"/>
    <mergeCell ref="K79:K82"/>
    <mergeCell ref="L79:L82"/>
    <mergeCell ref="C79:C82"/>
    <mergeCell ref="D79:D82"/>
    <mergeCell ref="E79:E82"/>
    <mergeCell ref="F79:F82"/>
    <mergeCell ref="G79:G82"/>
    <mergeCell ref="H79:H82"/>
    <mergeCell ref="N79:N82"/>
    <mergeCell ref="O79:O82"/>
    <mergeCell ref="O87:O88"/>
    <mergeCell ref="P87:P88"/>
    <mergeCell ref="N85:N86"/>
    <mergeCell ref="O85:O86"/>
    <mergeCell ref="P85:P86"/>
    <mergeCell ref="P83:P84"/>
    <mergeCell ref="C85:C86"/>
    <mergeCell ref="D85:D86"/>
    <mergeCell ref="E85:E86"/>
    <mergeCell ref="F85:F86"/>
    <mergeCell ref="G85:G86"/>
    <mergeCell ref="M85:M86"/>
    <mergeCell ref="H85:H86"/>
    <mergeCell ref="I85:I86"/>
    <mergeCell ref="J85:J86"/>
    <mergeCell ref="K85:K86"/>
    <mergeCell ref="L85:L86"/>
    <mergeCell ref="D87:D88"/>
    <mergeCell ref="E87:E88"/>
    <mergeCell ref="F87:F88"/>
    <mergeCell ref="G87:G88"/>
    <mergeCell ref="H87:H88"/>
    <mergeCell ref="I87:I88"/>
    <mergeCell ref="K87:K88"/>
    <mergeCell ref="L87:L88"/>
    <mergeCell ref="M87:M88"/>
    <mergeCell ref="C119:C121"/>
    <mergeCell ref="N144:N145"/>
    <mergeCell ref="I144:I145"/>
    <mergeCell ref="J144:J145"/>
    <mergeCell ref="K144:K145"/>
    <mergeCell ref="L144:L145"/>
    <mergeCell ref="J87:J88"/>
    <mergeCell ref="N87:N88"/>
    <mergeCell ref="M144:M145"/>
    <mergeCell ref="A149:A169"/>
    <mergeCell ref="C149:C161"/>
    <mergeCell ref="D150:D154"/>
    <mergeCell ref="E150:E154"/>
    <mergeCell ref="F150:F154"/>
    <mergeCell ref="G150:G154"/>
    <mergeCell ref="H150:H154"/>
    <mergeCell ref="H144:H145"/>
    <mergeCell ref="A93:A121"/>
    <mergeCell ref="A122:A148"/>
    <mergeCell ref="C144:C145"/>
    <mergeCell ref="D144:D145"/>
    <mergeCell ref="E144:E145"/>
    <mergeCell ref="F144:F145"/>
    <mergeCell ref="G144:G145"/>
    <mergeCell ref="D156:D161"/>
    <mergeCell ref="E156:E161"/>
    <mergeCell ref="F156:F161"/>
    <mergeCell ref="G156:G161"/>
    <mergeCell ref="H156:H161"/>
    <mergeCell ref="O144:O145"/>
    <mergeCell ref="P144:P145"/>
    <mergeCell ref="I150:I154"/>
    <mergeCell ref="J150:J154"/>
    <mergeCell ref="K150:K154"/>
    <mergeCell ref="L150:L154"/>
    <mergeCell ref="M150:M154"/>
    <mergeCell ref="N150:N154"/>
    <mergeCell ref="O150:O154"/>
    <mergeCell ref="P150:P154"/>
    <mergeCell ref="I156:I161"/>
    <mergeCell ref="J156:J161"/>
    <mergeCell ref="K156:K161"/>
    <mergeCell ref="L156:L161"/>
    <mergeCell ref="M156:M161"/>
    <mergeCell ref="N156:N161"/>
    <mergeCell ref="O156:O161"/>
    <mergeCell ref="P156:P161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K163:K164"/>
    <mergeCell ref="L163:L164"/>
    <mergeCell ref="M163:M164"/>
    <mergeCell ref="N163:N164"/>
    <mergeCell ref="O163:O164"/>
    <mergeCell ref="P163:P164"/>
    <mergeCell ref="J165:J166"/>
    <mergeCell ref="K165:K166"/>
    <mergeCell ref="L165:L166"/>
    <mergeCell ref="M165:M166"/>
    <mergeCell ref="N165:N166"/>
    <mergeCell ref="O165:O166"/>
    <mergeCell ref="P165:P166"/>
    <mergeCell ref="C169:C170"/>
    <mergeCell ref="D169:D170"/>
    <mergeCell ref="E169:E170"/>
    <mergeCell ref="F169:F170"/>
    <mergeCell ref="G169:G170"/>
    <mergeCell ref="H169:H170"/>
    <mergeCell ref="I169:I170"/>
    <mergeCell ref="J169:J170"/>
    <mergeCell ref="K169:K170"/>
    <mergeCell ref="C165:C166"/>
    <mergeCell ref="D165:D166"/>
    <mergeCell ref="E165:E166"/>
    <mergeCell ref="F165:F166"/>
    <mergeCell ref="G165:G166"/>
    <mergeCell ref="H165:H166"/>
    <mergeCell ref="I165:I166"/>
    <mergeCell ref="P180:P181"/>
    <mergeCell ref="C186:C187"/>
    <mergeCell ref="D186:D188"/>
    <mergeCell ref="E186:E188"/>
    <mergeCell ref="F186:F188"/>
    <mergeCell ref="G186:G188"/>
    <mergeCell ref="L169:L170"/>
    <mergeCell ref="M169:M170"/>
    <mergeCell ref="N169:N170"/>
    <mergeCell ref="O169:O170"/>
    <mergeCell ref="P169:P170"/>
    <mergeCell ref="C171:C179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H186:H188"/>
    <mergeCell ref="I186:I188"/>
    <mergeCell ref="J186:J188"/>
    <mergeCell ref="K186:K188"/>
    <mergeCell ref="L186:L188"/>
    <mergeCell ref="M186:M188"/>
    <mergeCell ref="N186:N188"/>
    <mergeCell ref="O186:O188"/>
    <mergeCell ref="O180:O181"/>
    <mergeCell ref="P186:P188"/>
    <mergeCell ref="J190:J192"/>
    <mergeCell ref="K190:K192"/>
    <mergeCell ref="L190:L192"/>
    <mergeCell ref="M190:M192"/>
    <mergeCell ref="N190:N192"/>
    <mergeCell ref="O190:O192"/>
    <mergeCell ref="P190:P192"/>
    <mergeCell ref="D195:D199"/>
    <mergeCell ref="E195:E199"/>
    <mergeCell ref="F195:F199"/>
    <mergeCell ref="G195:G199"/>
    <mergeCell ref="H195:H199"/>
    <mergeCell ref="I195:I199"/>
    <mergeCell ref="J195:J199"/>
    <mergeCell ref="K195:K199"/>
    <mergeCell ref="L195:L199"/>
    <mergeCell ref="D190:D192"/>
    <mergeCell ref="E190:E192"/>
    <mergeCell ref="F190:F192"/>
    <mergeCell ref="G190:G192"/>
    <mergeCell ref="H190:H192"/>
    <mergeCell ref="I190:I192"/>
    <mergeCell ref="M195:M199"/>
    <mergeCell ref="I206:I210"/>
    <mergeCell ref="J206:J210"/>
    <mergeCell ref="K206:K210"/>
    <mergeCell ref="L206:L210"/>
    <mergeCell ref="N195:N199"/>
    <mergeCell ref="O195:O199"/>
    <mergeCell ref="P195:P199"/>
    <mergeCell ref="D201:D203"/>
    <mergeCell ref="E201:E203"/>
    <mergeCell ref="F201:F203"/>
    <mergeCell ref="G201:G203"/>
    <mergeCell ref="H201:H203"/>
    <mergeCell ref="I201:I203"/>
    <mergeCell ref="J201:J203"/>
    <mergeCell ref="K201:K203"/>
    <mergeCell ref="L201:L203"/>
    <mergeCell ref="M201:M203"/>
    <mergeCell ref="N201:N203"/>
    <mergeCell ref="O201:O203"/>
    <mergeCell ref="P201:P203"/>
    <mergeCell ref="K216:K218"/>
    <mergeCell ref="L216:L218"/>
    <mergeCell ref="M206:M210"/>
    <mergeCell ref="N206:N210"/>
    <mergeCell ref="O206:O210"/>
    <mergeCell ref="P206:P210"/>
    <mergeCell ref="D211:D213"/>
    <mergeCell ref="E211:E213"/>
    <mergeCell ref="F211:F213"/>
    <mergeCell ref="G211:G213"/>
    <mergeCell ref="H211:H213"/>
    <mergeCell ref="I211:I213"/>
    <mergeCell ref="J211:J213"/>
    <mergeCell ref="K211:K213"/>
    <mergeCell ref="L211:L213"/>
    <mergeCell ref="M211:M213"/>
    <mergeCell ref="N211:N213"/>
    <mergeCell ref="O211:O213"/>
    <mergeCell ref="P211:P213"/>
    <mergeCell ref="D206:D210"/>
    <mergeCell ref="E206:E210"/>
    <mergeCell ref="F206:F210"/>
    <mergeCell ref="G206:G210"/>
    <mergeCell ref="H206:H210"/>
    <mergeCell ref="M216:M218"/>
    <mergeCell ref="N216:N218"/>
    <mergeCell ref="O216:O218"/>
    <mergeCell ref="P216:P218"/>
    <mergeCell ref="D220:D222"/>
    <mergeCell ref="E220:E222"/>
    <mergeCell ref="F220:F222"/>
    <mergeCell ref="G220:G222"/>
    <mergeCell ref="H220:H222"/>
    <mergeCell ref="I220:I222"/>
    <mergeCell ref="J220:J222"/>
    <mergeCell ref="K220:K222"/>
    <mergeCell ref="L220:L222"/>
    <mergeCell ref="M220:M222"/>
    <mergeCell ref="N220:N222"/>
    <mergeCell ref="O220:O222"/>
    <mergeCell ref="P220:P222"/>
    <mergeCell ref="D216:D218"/>
    <mergeCell ref="E216:E218"/>
    <mergeCell ref="F216:F218"/>
    <mergeCell ref="G216:G218"/>
    <mergeCell ref="H216:H218"/>
    <mergeCell ref="I216:I218"/>
    <mergeCell ref="J216:J218"/>
    <mergeCell ref="K225:K234"/>
    <mergeCell ref="L225:L234"/>
    <mergeCell ref="M225:M234"/>
    <mergeCell ref="N225:N234"/>
    <mergeCell ref="O225:O234"/>
    <mergeCell ref="P225:P234"/>
    <mergeCell ref="C190:C222"/>
    <mergeCell ref="A170:A222"/>
    <mergeCell ref="M237:M246"/>
    <mergeCell ref="N237:N246"/>
    <mergeCell ref="O237:O246"/>
    <mergeCell ref="P237:P246"/>
    <mergeCell ref="A223:A304"/>
    <mergeCell ref="C223:C281"/>
    <mergeCell ref="D225:D234"/>
    <mergeCell ref="E225:E234"/>
    <mergeCell ref="F225:F234"/>
    <mergeCell ref="G225:G234"/>
    <mergeCell ref="H225:H234"/>
    <mergeCell ref="I225:I234"/>
    <mergeCell ref="J225:J234"/>
    <mergeCell ref="D249:D258"/>
    <mergeCell ref="E249:E258"/>
    <mergeCell ref="F249:F258"/>
    <mergeCell ref="D237:D246"/>
    <mergeCell ref="E237:E246"/>
    <mergeCell ref="F237:F246"/>
    <mergeCell ref="G237:G246"/>
    <mergeCell ref="H237:H246"/>
    <mergeCell ref="I237:I246"/>
    <mergeCell ref="J237:J246"/>
    <mergeCell ref="K237:K246"/>
    <mergeCell ref="L237:L246"/>
    <mergeCell ref="M249:M258"/>
    <mergeCell ref="N249:N258"/>
    <mergeCell ref="O249:O258"/>
    <mergeCell ref="P249:P258"/>
    <mergeCell ref="D260:D280"/>
    <mergeCell ref="E260:E280"/>
    <mergeCell ref="F260:F280"/>
    <mergeCell ref="G260:G280"/>
    <mergeCell ref="H260:H280"/>
    <mergeCell ref="I260:I280"/>
    <mergeCell ref="J260:J280"/>
    <mergeCell ref="K260:K280"/>
    <mergeCell ref="L260:L280"/>
    <mergeCell ref="M260:M280"/>
    <mergeCell ref="N260:N280"/>
    <mergeCell ref="O260:O280"/>
    <mergeCell ref="P260:P280"/>
    <mergeCell ref="K249:K258"/>
    <mergeCell ref="L249:L258"/>
    <mergeCell ref="G249:G258"/>
    <mergeCell ref="H249:H258"/>
    <mergeCell ref="I249:I258"/>
    <mergeCell ref="J249:J258"/>
    <mergeCell ref="K282:K283"/>
    <mergeCell ref="L282:L283"/>
    <mergeCell ref="M282:M283"/>
    <mergeCell ref="N282:N283"/>
    <mergeCell ref="O282:O283"/>
    <mergeCell ref="P282:P283"/>
    <mergeCell ref="D284:D285"/>
    <mergeCell ref="E284:E285"/>
    <mergeCell ref="F284:F285"/>
    <mergeCell ref="G284:G285"/>
    <mergeCell ref="H284:H285"/>
    <mergeCell ref="M284:M285"/>
    <mergeCell ref="N284:N285"/>
    <mergeCell ref="O284:O285"/>
    <mergeCell ref="P284:P285"/>
    <mergeCell ref="I284:I285"/>
    <mergeCell ref="J284:J285"/>
    <mergeCell ref="K284:K285"/>
    <mergeCell ref="L284:L285"/>
    <mergeCell ref="D282:D283"/>
    <mergeCell ref="E282:E283"/>
    <mergeCell ref="F282:F283"/>
    <mergeCell ref="G282:G283"/>
    <mergeCell ref="H282:H283"/>
    <mergeCell ref="G286:G304"/>
    <mergeCell ref="H286:H304"/>
    <mergeCell ref="I286:I304"/>
    <mergeCell ref="J286:J304"/>
    <mergeCell ref="K286:K304"/>
    <mergeCell ref="A305:A323"/>
    <mergeCell ref="C306:C308"/>
    <mergeCell ref="D306:D308"/>
    <mergeCell ref="E306:E308"/>
    <mergeCell ref="F306:F308"/>
    <mergeCell ref="E318:E319"/>
    <mergeCell ref="F318:F319"/>
    <mergeCell ref="G318:G319"/>
    <mergeCell ref="H318:H319"/>
    <mergeCell ref="C322:C323"/>
    <mergeCell ref="D322:D323"/>
    <mergeCell ref="E322:E323"/>
    <mergeCell ref="F322:F323"/>
    <mergeCell ref="G322:G323"/>
    <mergeCell ref="H322:H323"/>
    <mergeCell ref="I322:I323"/>
    <mergeCell ref="C282:C304"/>
    <mergeCell ref="I282:I283"/>
    <mergeCell ref="J282:J283"/>
    <mergeCell ref="P306:P308"/>
    <mergeCell ref="C309:C310"/>
    <mergeCell ref="D309:D310"/>
    <mergeCell ref="E309:E310"/>
    <mergeCell ref="F309:F310"/>
    <mergeCell ref="G309:G310"/>
    <mergeCell ref="H309:H310"/>
    <mergeCell ref="L286:L304"/>
    <mergeCell ref="M286:M304"/>
    <mergeCell ref="N286:N304"/>
    <mergeCell ref="O286:O304"/>
    <mergeCell ref="P286:P304"/>
    <mergeCell ref="G306:G308"/>
    <mergeCell ref="H306:H308"/>
    <mergeCell ref="I306:I308"/>
    <mergeCell ref="J306:J308"/>
    <mergeCell ref="K306:K308"/>
    <mergeCell ref="L306:L308"/>
    <mergeCell ref="M306:M308"/>
    <mergeCell ref="N306:N308"/>
    <mergeCell ref="O306:O308"/>
    <mergeCell ref="D286:D304"/>
    <mergeCell ref="E286:E304"/>
    <mergeCell ref="F286:F304"/>
    <mergeCell ref="O309:O310"/>
    <mergeCell ref="P309:P310"/>
    <mergeCell ref="C315:C317"/>
    <mergeCell ref="D315:D317"/>
    <mergeCell ref="E315:E317"/>
    <mergeCell ref="F315:F317"/>
    <mergeCell ref="G315:G317"/>
    <mergeCell ref="H315:H317"/>
    <mergeCell ref="I315:I317"/>
    <mergeCell ref="N309:N310"/>
    <mergeCell ref="K315:K317"/>
    <mergeCell ref="L315:L317"/>
    <mergeCell ref="M315:M317"/>
    <mergeCell ref="N315:N317"/>
    <mergeCell ref="J315:J317"/>
    <mergeCell ref="I309:I310"/>
    <mergeCell ref="J309:J310"/>
    <mergeCell ref="K309:K310"/>
    <mergeCell ref="L309:L310"/>
    <mergeCell ref="M309:M310"/>
    <mergeCell ref="O315:O317"/>
    <mergeCell ref="A324:A327"/>
    <mergeCell ref="A328:A329"/>
    <mergeCell ref="B328:B329"/>
    <mergeCell ref="C328:C329"/>
    <mergeCell ref="D328:D329"/>
    <mergeCell ref="E328:E329"/>
    <mergeCell ref="C318:C319"/>
    <mergeCell ref="D318:D319"/>
    <mergeCell ref="P315:P317"/>
    <mergeCell ref="J322:J323"/>
    <mergeCell ref="I318:I319"/>
    <mergeCell ref="J318:J319"/>
    <mergeCell ref="K318:K319"/>
    <mergeCell ref="L318:L319"/>
    <mergeCell ref="M318:M319"/>
    <mergeCell ref="P322:P323"/>
    <mergeCell ref="O318:O319"/>
    <mergeCell ref="P318:P319"/>
    <mergeCell ref="K322:K323"/>
    <mergeCell ref="L322:L323"/>
    <mergeCell ref="M322:M323"/>
    <mergeCell ref="N322:N323"/>
    <mergeCell ref="O322:O323"/>
    <mergeCell ref="N318:N319"/>
    <mergeCell ref="D333:E333"/>
    <mergeCell ref="F333:G333"/>
    <mergeCell ref="H333:I333"/>
    <mergeCell ref="D337:D338"/>
    <mergeCell ref="E337:E338"/>
    <mergeCell ref="L328:L329"/>
    <mergeCell ref="D331:I332"/>
    <mergeCell ref="P328:P329"/>
    <mergeCell ref="F328:F329"/>
    <mergeCell ref="G328:G329"/>
    <mergeCell ref="H328:H329"/>
    <mergeCell ref="I328:I329"/>
    <mergeCell ref="J328:J329"/>
    <mergeCell ref="K328:K329"/>
    <mergeCell ref="M328:M329"/>
    <mergeCell ref="N328:N329"/>
    <mergeCell ref="O328:O329"/>
  </mergeCells>
  <pageMargins left="0.7" right="0.7" top="0.75" bottom="0.75" header="0.3" footer="0.3"/>
  <pageSetup paperSize="8" scale="86" fitToHeight="0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6F9A-131B-477E-918F-51C4DEFB66AA}">
  <sheetPr>
    <pageSetUpPr fitToPage="1"/>
  </sheetPr>
  <dimension ref="A1:T22"/>
  <sheetViews>
    <sheetView workbookViewId="0">
      <selection activeCell="I25" sqref="I25"/>
    </sheetView>
  </sheetViews>
  <sheetFormatPr defaultRowHeight="15" x14ac:dyDescent="0.25"/>
  <cols>
    <col min="6" max="6" width="12.140625" customWidth="1"/>
    <col min="7" max="7" width="10.28515625" customWidth="1"/>
  </cols>
  <sheetData>
    <row r="1" spans="1:20" x14ac:dyDescent="0.25">
      <c r="A1" s="1730"/>
      <c r="B1" s="1966" t="s">
        <v>37</v>
      </c>
      <c r="C1" s="1302"/>
      <c r="D1" s="1302"/>
      <c r="E1" s="1302"/>
      <c r="F1" s="1302"/>
      <c r="G1" s="1302"/>
      <c r="H1" s="1302"/>
      <c r="I1" s="1302"/>
      <c r="J1" s="1302"/>
      <c r="K1" s="1302"/>
      <c r="L1" s="1302"/>
      <c r="M1" s="1302"/>
      <c r="N1" s="1303"/>
    </row>
    <row r="2" spans="1:20" ht="15.75" thickBot="1" x14ac:dyDescent="0.3">
      <c r="A2" s="1731"/>
      <c r="B2" s="1967"/>
      <c r="C2" s="1305"/>
      <c r="D2" s="1305"/>
      <c r="E2" s="1305"/>
      <c r="F2" s="1305"/>
      <c r="G2" s="1305"/>
      <c r="H2" s="1305"/>
      <c r="I2" s="1305"/>
      <c r="J2" s="1305"/>
      <c r="K2" s="1305"/>
      <c r="L2" s="1305"/>
      <c r="M2" s="1305"/>
      <c r="N2" s="1306"/>
    </row>
    <row r="3" spans="1:20" x14ac:dyDescent="0.25">
      <c r="A3" s="1731"/>
      <c r="B3" s="1968" t="s">
        <v>0</v>
      </c>
      <c r="C3" s="1407" t="s">
        <v>4</v>
      </c>
      <c r="D3" s="1974" t="s">
        <v>18</v>
      </c>
      <c r="E3" s="1415" t="s">
        <v>15</v>
      </c>
      <c r="F3" s="1415" t="s">
        <v>3</v>
      </c>
      <c r="G3" s="1415" t="s">
        <v>16</v>
      </c>
      <c r="H3" s="1417" t="s">
        <v>17</v>
      </c>
      <c r="I3" s="1970" t="s">
        <v>1</v>
      </c>
      <c r="J3" s="1972" t="s">
        <v>2</v>
      </c>
      <c r="K3" s="1409"/>
      <c r="L3" s="1409"/>
      <c r="M3" s="1409"/>
      <c r="N3" s="1410"/>
    </row>
    <row r="4" spans="1:20" ht="15.75" thickBot="1" x14ac:dyDescent="0.3">
      <c r="A4" s="1732"/>
      <c r="B4" s="1969"/>
      <c r="C4" s="1408"/>
      <c r="D4" s="1975"/>
      <c r="E4" s="1416"/>
      <c r="F4" s="1416"/>
      <c r="G4" s="1416"/>
      <c r="H4" s="1418"/>
      <c r="I4" s="1971"/>
      <c r="J4" s="1973"/>
      <c r="K4" s="1411"/>
      <c r="L4" s="1411"/>
      <c r="M4" s="1411"/>
      <c r="N4" s="1412"/>
    </row>
    <row r="5" spans="1:20" ht="15.75" thickTop="1" x14ac:dyDescent="0.25">
      <c r="A5" s="53" t="s">
        <v>26</v>
      </c>
      <c r="B5" s="52"/>
      <c r="C5" s="61"/>
      <c r="D5" s="63"/>
      <c r="E5" s="62"/>
      <c r="F5" s="60"/>
      <c r="G5" s="60"/>
      <c r="H5" s="59"/>
      <c r="I5" s="54"/>
      <c r="J5" s="55">
        <v>1</v>
      </c>
      <c r="K5" s="56">
        <v>2</v>
      </c>
      <c r="L5" s="56">
        <v>3</v>
      </c>
      <c r="M5" s="58">
        <v>4</v>
      </c>
      <c r="N5" s="57">
        <v>5</v>
      </c>
      <c r="P5" s="1960" t="s">
        <v>53</v>
      </c>
      <c r="Q5" s="1961"/>
      <c r="R5" s="1961"/>
      <c r="S5" s="1961"/>
      <c r="T5" s="1962"/>
    </row>
    <row r="6" spans="1:20" x14ac:dyDescent="0.25">
      <c r="A6" s="65">
        <v>1</v>
      </c>
      <c r="B6" s="66">
        <f>'Plot By Plot SoA'!B296</f>
        <v>265</v>
      </c>
      <c r="C6" s="67">
        <f>'Plot By Plot SoA'!C296</f>
        <v>43.4</v>
      </c>
      <c r="D6" s="68">
        <f>'Plot By Plot SoA'!D296</f>
        <v>467.15325999999999</v>
      </c>
      <c r="E6" s="69"/>
      <c r="F6" s="69"/>
      <c r="G6" s="69"/>
      <c r="H6" s="70" t="str">
        <f>'Plot By Plot SoA'!I296</f>
        <v>Y</v>
      </c>
      <c r="I6" s="71"/>
      <c r="J6" s="72" t="str">
        <f>'Plot By Plot SoA'!K296</f>
        <v>Y</v>
      </c>
      <c r="K6" s="73"/>
      <c r="L6" s="73"/>
      <c r="M6" s="74"/>
      <c r="N6" s="71"/>
      <c r="P6" s="164"/>
      <c r="Q6" s="159" t="s">
        <v>54</v>
      </c>
      <c r="R6" s="159" t="s">
        <v>55</v>
      </c>
      <c r="S6" s="160" t="s">
        <v>56</v>
      </c>
      <c r="T6" s="163" t="s">
        <v>52</v>
      </c>
    </row>
    <row r="7" spans="1:20" x14ac:dyDescent="0.25">
      <c r="A7" s="65">
        <v>2</v>
      </c>
      <c r="B7" s="75">
        <f>'Plot By Plot SoA'!B297</f>
        <v>266</v>
      </c>
      <c r="C7" s="67">
        <f>'Plot By Plot SoA'!C297</f>
        <v>43.4</v>
      </c>
      <c r="D7" s="68">
        <f>'Plot By Plot SoA'!D297</f>
        <v>467.15325999999999</v>
      </c>
      <c r="E7" s="69"/>
      <c r="F7" s="69"/>
      <c r="G7" s="69"/>
      <c r="H7" s="70" t="str">
        <f>'Plot By Plot SoA'!I297</f>
        <v>Y</v>
      </c>
      <c r="I7" s="71"/>
      <c r="J7" s="76" t="str">
        <f>'Plot By Plot SoA'!K297</f>
        <v>Y</v>
      </c>
      <c r="K7" s="74"/>
      <c r="L7" s="74"/>
      <c r="M7" s="74"/>
      <c r="N7" s="71"/>
      <c r="P7" s="155" t="s">
        <v>28</v>
      </c>
      <c r="Q7" s="103">
        <v>0</v>
      </c>
      <c r="R7" s="103">
        <v>0</v>
      </c>
      <c r="S7" s="70">
        <v>9</v>
      </c>
      <c r="T7" s="71">
        <f>SUM(Q7:S7)</f>
        <v>9</v>
      </c>
    </row>
    <row r="8" spans="1:20" x14ac:dyDescent="0.25">
      <c r="A8" s="65">
        <v>3</v>
      </c>
      <c r="B8" s="75">
        <f>'Plot By Plot SoA'!B298</f>
        <v>267</v>
      </c>
      <c r="C8" s="67">
        <f>'Plot By Plot SoA'!C298</f>
        <v>43.4</v>
      </c>
      <c r="D8" s="68">
        <f>'Plot By Plot SoA'!D298</f>
        <v>467.15325999999999</v>
      </c>
      <c r="E8" s="69"/>
      <c r="F8" s="69"/>
      <c r="G8" s="69"/>
      <c r="H8" s="70" t="str">
        <f>'Plot By Plot SoA'!I298</f>
        <v>Y</v>
      </c>
      <c r="I8" s="71"/>
      <c r="J8" s="76" t="str">
        <f>'Plot By Plot SoA'!K298</f>
        <v>Y</v>
      </c>
      <c r="K8" s="74"/>
      <c r="L8" s="74"/>
      <c r="M8" s="74"/>
      <c r="N8" s="71"/>
      <c r="P8" s="155" t="s">
        <v>29</v>
      </c>
      <c r="Q8" s="103">
        <v>0</v>
      </c>
      <c r="R8" s="103">
        <v>5</v>
      </c>
      <c r="S8" s="70">
        <v>0</v>
      </c>
      <c r="T8" s="71">
        <f>SUM(Q8:S8)</f>
        <v>5</v>
      </c>
    </row>
    <row r="9" spans="1:20" ht="15.75" thickBot="1" x14ac:dyDescent="0.3">
      <c r="A9" s="65">
        <v>4</v>
      </c>
      <c r="B9" s="75">
        <f>'Plot By Plot SoA'!B299</f>
        <v>268</v>
      </c>
      <c r="C9" s="67">
        <f>'Plot By Plot SoA'!C299</f>
        <v>43.4</v>
      </c>
      <c r="D9" s="68">
        <f>'Plot By Plot SoA'!D299</f>
        <v>467.15325999999999</v>
      </c>
      <c r="E9" s="69"/>
      <c r="F9" s="69"/>
      <c r="G9" s="69"/>
      <c r="H9" s="70" t="str">
        <f>'Plot By Plot SoA'!I299</f>
        <v>Y</v>
      </c>
      <c r="I9" s="71"/>
      <c r="J9" s="76" t="str">
        <f>'Plot By Plot SoA'!K299</f>
        <v>Y</v>
      </c>
      <c r="K9" s="74"/>
      <c r="L9" s="74"/>
      <c r="M9" s="74"/>
      <c r="N9" s="71"/>
      <c r="P9" s="165" t="s">
        <v>30</v>
      </c>
      <c r="Q9" s="161">
        <v>0</v>
      </c>
      <c r="R9" s="161">
        <v>0</v>
      </c>
      <c r="S9" s="162">
        <v>0</v>
      </c>
      <c r="T9" s="71">
        <f>SUM(Q9:S9)</f>
        <v>0</v>
      </c>
    </row>
    <row r="10" spans="1:20" ht="15.75" thickBot="1" x14ac:dyDescent="0.3">
      <c r="A10" s="65">
        <v>5</v>
      </c>
      <c r="B10" s="75">
        <f>'Plot By Plot SoA'!B300</f>
        <v>269</v>
      </c>
      <c r="C10" s="67">
        <f>'Plot By Plot SoA'!C300</f>
        <v>43.4</v>
      </c>
      <c r="D10" s="68">
        <f>'Plot By Plot SoA'!D300</f>
        <v>467.15325999999999</v>
      </c>
      <c r="E10" s="69"/>
      <c r="F10" s="69"/>
      <c r="G10" s="69"/>
      <c r="H10" s="70" t="str">
        <f>'Plot By Plot SoA'!I300</f>
        <v>Y</v>
      </c>
      <c r="I10" s="71"/>
      <c r="J10" s="76" t="str">
        <f>'Plot By Plot SoA'!K300</f>
        <v>Y</v>
      </c>
      <c r="K10" s="74"/>
      <c r="L10" s="74"/>
      <c r="M10" s="74"/>
      <c r="N10" s="71"/>
      <c r="P10" s="156" t="s">
        <v>52</v>
      </c>
      <c r="Q10" s="154">
        <f>SUM(Q7:Q9)</f>
        <v>0</v>
      </c>
      <c r="R10" s="154">
        <f>SUM(R7:R9)</f>
        <v>5</v>
      </c>
      <c r="S10" s="154">
        <f>SUM(S7:S9)</f>
        <v>9</v>
      </c>
      <c r="T10" s="153">
        <f>SUM(Q10:S10)</f>
        <v>14</v>
      </c>
    </row>
    <row r="11" spans="1:20" x14ac:dyDescent="0.25">
      <c r="A11" s="65">
        <v>6</v>
      </c>
      <c r="B11" s="75">
        <f>'Plot By Plot SoA'!B301</f>
        <v>270</v>
      </c>
      <c r="C11" s="67">
        <f>'Plot By Plot SoA'!C301</f>
        <v>51.2</v>
      </c>
      <c r="D11" s="68">
        <f>'Plot By Plot SoA'!D301</f>
        <v>551.11167999999998</v>
      </c>
      <c r="E11" s="69"/>
      <c r="F11" s="69"/>
      <c r="G11" s="69"/>
      <c r="H11" s="70" t="str">
        <f>'Plot By Plot SoA'!I301</f>
        <v>Y</v>
      </c>
      <c r="I11" s="71"/>
      <c r="J11" s="76" t="str">
        <f>'Plot By Plot SoA'!K301</f>
        <v>Y</v>
      </c>
      <c r="K11" s="74"/>
      <c r="L11" s="74"/>
      <c r="M11" s="74"/>
      <c r="N11" s="71"/>
    </row>
    <row r="12" spans="1:20" x14ac:dyDescent="0.25">
      <c r="A12" s="65">
        <v>7</v>
      </c>
      <c r="B12" s="75">
        <f>'Plot By Plot SoA'!B302</f>
        <v>271</v>
      </c>
      <c r="C12" s="67">
        <f>'Plot By Plot SoA'!C302</f>
        <v>43.4</v>
      </c>
      <c r="D12" s="68">
        <f>'Plot By Plot SoA'!D302</f>
        <v>467.15325999999999</v>
      </c>
      <c r="E12" s="69"/>
      <c r="F12" s="69"/>
      <c r="G12" s="69"/>
      <c r="H12" s="70" t="str">
        <f>'Plot By Plot SoA'!I302</f>
        <v>Y</v>
      </c>
      <c r="I12" s="71"/>
      <c r="J12" s="76" t="str">
        <f>'Plot By Plot SoA'!K302</f>
        <v>Y</v>
      </c>
      <c r="K12" s="74"/>
      <c r="L12" s="74"/>
      <c r="M12" s="74"/>
      <c r="N12" s="71"/>
    </row>
    <row r="13" spans="1:20" x14ac:dyDescent="0.25">
      <c r="A13" s="65">
        <v>8</v>
      </c>
      <c r="B13" s="75">
        <f>'Plot By Plot SoA'!B303</f>
        <v>272</v>
      </c>
      <c r="C13" s="67">
        <f>'Plot By Plot SoA'!C303</f>
        <v>43.4</v>
      </c>
      <c r="D13" s="68">
        <f>'Plot By Plot SoA'!D303</f>
        <v>467.15325999999999</v>
      </c>
      <c r="E13" s="69"/>
      <c r="F13" s="69"/>
      <c r="G13" s="69"/>
      <c r="H13" s="70" t="str">
        <f>'Plot By Plot SoA'!I303</f>
        <v>Y</v>
      </c>
      <c r="I13" s="71"/>
      <c r="J13" s="76" t="str">
        <f>'Plot By Plot SoA'!K303</f>
        <v>Y</v>
      </c>
      <c r="K13" s="74"/>
      <c r="L13" s="74"/>
      <c r="M13" s="74"/>
      <c r="N13" s="71"/>
    </row>
    <row r="14" spans="1:20" x14ac:dyDescent="0.25">
      <c r="A14" s="65">
        <v>9</v>
      </c>
      <c r="B14" s="75">
        <f>'Plot By Plot SoA'!B305</f>
        <v>274</v>
      </c>
      <c r="C14" s="67">
        <f>'Plot By Plot SoA'!C305</f>
        <v>39.200000000000003</v>
      </c>
      <c r="D14" s="68">
        <f>'Plot By Plot SoA'!D305</f>
        <v>421.94488000000001</v>
      </c>
      <c r="E14" s="69"/>
      <c r="F14" s="69"/>
      <c r="G14" s="69"/>
      <c r="H14" s="70">
        <f>'Plot By Plot SoA'!I305</f>
        <v>0</v>
      </c>
      <c r="I14" s="71"/>
      <c r="J14" s="76" t="str">
        <f>'Plot By Plot SoA'!K305</f>
        <v>Y</v>
      </c>
      <c r="K14" s="74"/>
      <c r="L14" s="74"/>
      <c r="M14" s="74"/>
      <c r="N14" s="71"/>
    </row>
    <row r="15" spans="1:20" x14ac:dyDescent="0.25">
      <c r="A15" s="65">
        <v>10</v>
      </c>
      <c r="B15" s="75">
        <f>'Plot By Plot SoA'!B306</f>
        <v>275</v>
      </c>
      <c r="C15" s="67">
        <f>'Plot By Plot SoA'!C306</f>
        <v>57.8</v>
      </c>
      <c r="D15" s="68">
        <f>'Plot By Plot SoA'!D306</f>
        <v>622.15341999999998</v>
      </c>
      <c r="E15" s="69"/>
      <c r="F15" s="69"/>
      <c r="G15" s="69" t="str">
        <f>'Plot By Plot SoA'!H306</f>
        <v>Y</v>
      </c>
      <c r="H15" s="70"/>
      <c r="I15" s="71"/>
      <c r="J15" s="76"/>
      <c r="K15" s="74">
        <f>'Plot By Plot SoA'!L306</f>
        <v>0</v>
      </c>
      <c r="L15" s="74"/>
      <c r="M15" s="74"/>
      <c r="N15" s="71"/>
    </row>
    <row r="16" spans="1:20" x14ac:dyDescent="0.25">
      <c r="A16" s="65">
        <v>11</v>
      </c>
      <c r="B16" s="75">
        <f>'Plot By Plot SoA'!B307</f>
        <v>276</v>
      </c>
      <c r="C16" s="67">
        <f>'Plot By Plot SoA'!C307</f>
        <v>57.8</v>
      </c>
      <c r="D16" s="68">
        <f>'Plot By Plot SoA'!D307</f>
        <v>622.15341999999998</v>
      </c>
      <c r="E16" s="69"/>
      <c r="F16" s="69"/>
      <c r="G16" s="69" t="str">
        <f>'Plot By Plot SoA'!H307</f>
        <v>Y</v>
      </c>
      <c r="H16" s="70"/>
      <c r="I16" s="71"/>
      <c r="J16" s="76"/>
      <c r="K16" s="74">
        <f>'Plot By Plot SoA'!L307</f>
        <v>0</v>
      </c>
      <c r="L16" s="74"/>
      <c r="M16" s="74"/>
      <c r="N16" s="71"/>
    </row>
    <row r="17" spans="1:14" x14ac:dyDescent="0.25">
      <c r="A17" s="65">
        <v>12</v>
      </c>
      <c r="B17" s="75">
        <f>'Plot By Plot SoA'!B308</f>
        <v>277</v>
      </c>
      <c r="C17" s="67">
        <f>'Plot By Plot SoA'!C308</f>
        <v>50.1</v>
      </c>
      <c r="D17" s="68">
        <f>'Plot By Plot SoA'!D308</f>
        <v>539.27139</v>
      </c>
      <c r="E17" s="69"/>
      <c r="F17" s="69"/>
      <c r="G17" s="69">
        <f>'Plot By Plot SoA'!H308</f>
        <v>0</v>
      </c>
      <c r="H17" s="70"/>
      <c r="I17" s="71"/>
      <c r="J17" s="76"/>
      <c r="K17" s="74">
        <f>'Plot By Plot SoA'!L308</f>
        <v>0</v>
      </c>
      <c r="L17" s="74"/>
      <c r="M17" s="74"/>
      <c r="N17" s="71"/>
    </row>
    <row r="18" spans="1:14" x14ac:dyDescent="0.25">
      <c r="A18" s="65">
        <v>13</v>
      </c>
      <c r="B18" s="75">
        <f>'Plot By Plot SoA'!B309</f>
        <v>278</v>
      </c>
      <c r="C18" s="67">
        <f>'Plot By Plot SoA'!C309</f>
        <v>100.1</v>
      </c>
      <c r="D18" s="68">
        <f>'Plot By Plot SoA'!D309</f>
        <v>1077.4663899999998</v>
      </c>
      <c r="E18" s="69"/>
      <c r="F18" s="69"/>
      <c r="G18" s="69" t="str">
        <f>'Plot By Plot SoA'!H309</f>
        <v>Y</v>
      </c>
      <c r="H18" s="70"/>
      <c r="I18" s="71"/>
      <c r="J18" s="76"/>
      <c r="K18" s="74" t="str">
        <f>'Plot By Plot SoA'!L309</f>
        <v>Y</v>
      </c>
      <c r="L18" s="74"/>
      <c r="M18" s="74"/>
      <c r="N18" s="71"/>
    </row>
    <row r="19" spans="1:14" ht="15.75" thickBot="1" x14ac:dyDescent="0.3">
      <c r="A19" s="65">
        <v>14</v>
      </c>
      <c r="B19" s="75">
        <f>'Plot By Plot SoA'!B310</f>
        <v>279</v>
      </c>
      <c r="C19" s="67">
        <f>'Plot By Plot SoA'!C310</f>
        <v>57.8</v>
      </c>
      <c r="D19" s="68">
        <f>'Plot By Plot SoA'!D310</f>
        <v>622.15341999999998</v>
      </c>
      <c r="E19" s="69"/>
      <c r="F19" s="69"/>
      <c r="G19" s="69" t="str">
        <f>'Plot By Plot SoA'!H310</f>
        <v>Y</v>
      </c>
      <c r="H19" s="70"/>
      <c r="I19" s="71"/>
      <c r="J19" s="76"/>
      <c r="K19" s="74">
        <f>'Plot By Plot SoA'!L310</f>
        <v>0</v>
      </c>
      <c r="L19" s="74"/>
      <c r="M19" s="74"/>
      <c r="N19" s="71"/>
    </row>
    <row r="20" spans="1:14" ht="45.75" thickBot="1" x14ac:dyDescent="0.3">
      <c r="A20" s="1963"/>
      <c r="B20" s="46" t="s">
        <v>5</v>
      </c>
      <c r="C20" s="43"/>
      <c r="D20" s="44"/>
      <c r="E20" s="10">
        <f>COUNTA(E6:E19)</f>
        <v>0</v>
      </c>
      <c r="F20" s="10">
        <f>COUNTA(F6:F19)</f>
        <v>0</v>
      </c>
      <c r="G20" s="10">
        <f>COUNTA(G6:G19)</f>
        <v>5</v>
      </c>
      <c r="H20" s="10">
        <f>COUNTA(H6:H19)</f>
        <v>9</v>
      </c>
      <c r="I20" s="10"/>
      <c r="J20" s="14">
        <f>COUNTA(J6:J19)</f>
        <v>9</v>
      </c>
      <c r="K20" s="14">
        <f>COUNTA(K6:K19)</f>
        <v>5</v>
      </c>
      <c r="L20" s="14">
        <f>COUNTA(L6:L19)</f>
        <v>0</v>
      </c>
      <c r="M20" s="14">
        <f>COUNTA(M6:M19)</f>
        <v>0</v>
      </c>
      <c r="N20" s="45">
        <f>COUNTA(N6:N19)</f>
        <v>0</v>
      </c>
    </row>
    <row r="21" spans="1:14" ht="30.75" thickBot="1" x14ac:dyDescent="0.3">
      <c r="A21" s="1964"/>
      <c r="B21" s="47" t="s">
        <v>6</v>
      </c>
      <c r="C21" s="1954">
        <f>SUM(C6:C19)</f>
        <v>717.8</v>
      </c>
      <c r="D21" s="1955"/>
      <c r="E21" s="1955"/>
      <c r="F21" s="1955"/>
      <c r="G21" s="1955"/>
      <c r="H21" s="1955"/>
      <c r="I21" s="1956"/>
      <c r="J21" s="49">
        <f>SUM(1/J22*J20)</f>
        <v>0.64285714285714279</v>
      </c>
      <c r="K21" s="50">
        <f>SUM(1/J22*K20)</f>
        <v>0.3571428571428571</v>
      </c>
      <c r="L21" s="50">
        <f>SUM(1/J22*L20)</f>
        <v>0</v>
      </c>
      <c r="M21" s="50">
        <f>SUM(1/J22*M20)</f>
        <v>0</v>
      </c>
      <c r="N21" s="51">
        <f>SUM(1/J22*N20)</f>
        <v>0</v>
      </c>
    </row>
    <row r="22" spans="1:14" ht="45.75" thickBot="1" x14ac:dyDescent="0.3">
      <c r="A22" s="1965"/>
      <c r="B22" s="48" t="s">
        <v>7</v>
      </c>
      <c r="C22" s="1509">
        <f>SUM(C21*10.7639)</f>
        <v>7726.3274199999996</v>
      </c>
      <c r="D22" s="1510"/>
      <c r="E22" s="1510"/>
      <c r="F22" s="1510"/>
      <c r="G22" s="1510"/>
      <c r="H22" s="1510"/>
      <c r="I22" s="1511"/>
      <c r="J22" s="1957">
        <f>SUM(J20:N20)</f>
        <v>14</v>
      </c>
      <c r="K22" s="1958"/>
      <c r="L22" s="1958"/>
      <c r="M22" s="1958"/>
      <c r="N22" s="1959"/>
    </row>
  </sheetData>
  <mergeCells count="17">
    <mergeCell ref="A1:A2"/>
    <mergeCell ref="B1:N2"/>
    <mergeCell ref="A3:A4"/>
    <mergeCell ref="B3:B4"/>
    <mergeCell ref="C3:C4"/>
    <mergeCell ref="F3:F4"/>
    <mergeCell ref="G3:G4"/>
    <mergeCell ref="H3:H4"/>
    <mergeCell ref="I3:I4"/>
    <mergeCell ref="J3:N4"/>
    <mergeCell ref="D3:D4"/>
    <mergeCell ref="E3:E4"/>
    <mergeCell ref="C21:I21"/>
    <mergeCell ref="C22:I22"/>
    <mergeCell ref="J22:N22"/>
    <mergeCell ref="P5:T5"/>
    <mergeCell ref="A20:A22"/>
  </mergeCells>
  <pageMargins left="0.7" right="0.7" top="0.75" bottom="0.75" header="0.3" footer="0.3"/>
  <pageSetup paperSize="8" scale="70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93E67-9158-49AA-BBBB-2B2F5D96AA18}">
  <sheetPr>
    <pageSetUpPr fitToPage="1"/>
  </sheetPr>
  <dimension ref="A1:T31"/>
  <sheetViews>
    <sheetView workbookViewId="0">
      <selection activeCell="I25" sqref="I25"/>
    </sheetView>
  </sheetViews>
  <sheetFormatPr defaultRowHeight="15" x14ac:dyDescent="0.25"/>
  <cols>
    <col min="6" max="6" width="11.42578125" customWidth="1"/>
  </cols>
  <sheetData>
    <row r="1" spans="1:20" x14ac:dyDescent="0.25">
      <c r="A1" s="1730"/>
      <c r="B1" s="1966" t="s">
        <v>37</v>
      </c>
      <c r="C1" s="1302"/>
      <c r="D1" s="1302"/>
      <c r="E1" s="1302"/>
      <c r="F1" s="1302"/>
      <c r="G1" s="1302"/>
      <c r="H1" s="1302"/>
      <c r="I1" s="1302"/>
      <c r="J1" s="1302"/>
      <c r="K1" s="1302"/>
      <c r="L1" s="1302"/>
      <c r="M1" s="1302"/>
      <c r="N1" s="1303"/>
    </row>
    <row r="2" spans="1:20" ht="15.75" thickBot="1" x14ac:dyDescent="0.3">
      <c r="A2" s="1731"/>
      <c r="B2" s="1967"/>
      <c r="C2" s="1305"/>
      <c r="D2" s="1305"/>
      <c r="E2" s="1305"/>
      <c r="F2" s="1305"/>
      <c r="G2" s="1305"/>
      <c r="H2" s="1305"/>
      <c r="I2" s="1305"/>
      <c r="J2" s="1305"/>
      <c r="K2" s="1305"/>
      <c r="L2" s="1305"/>
      <c r="M2" s="1305"/>
      <c r="N2" s="1306"/>
    </row>
    <row r="3" spans="1:20" x14ac:dyDescent="0.25">
      <c r="A3" s="1731"/>
      <c r="B3" s="1968" t="s">
        <v>0</v>
      </c>
      <c r="C3" s="1407" t="s">
        <v>4</v>
      </c>
      <c r="D3" s="1974" t="s">
        <v>18</v>
      </c>
      <c r="E3" s="1415" t="s">
        <v>15</v>
      </c>
      <c r="F3" s="1415" t="s">
        <v>3</v>
      </c>
      <c r="G3" s="1415" t="s">
        <v>16</v>
      </c>
      <c r="H3" s="1417" t="s">
        <v>17</v>
      </c>
      <c r="I3" s="1970" t="s">
        <v>1</v>
      </c>
      <c r="J3" s="1972" t="s">
        <v>2</v>
      </c>
      <c r="K3" s="1409"/>
      <c r="L3" s="1409"/>
      <c r="M3" s="1409"/>
      <c r="N3" s="1410"/>
    </row>
    <row r="4" spans="1:20" ht="15.75" thickBot="1" x14ac:dyDescent="0.3">
      <c r="A4" s="1732"/>
      <c r="B4" s="1969"/>
      <c r="C4" s="1408"/>
      <c r="D4" s="1975"/>
      <c r="E4" s="1416"/>
      <c r="F4" s="1416"/>
      <c r="G4" s="1416"/>
      <c r="H4" s="1418"/>
      <c r="I4" s="1971"/>
      <c r="J4" s="1973"/>
      <c r="K4" s="1411"/>
      <c r="L4" s="1411"/>
      <c r="M4" s="1411"/>
      <c r="N4" s="1412"/>
    </row>
    <row r="5" spans="1:20" ht="15.75" thickTop="1" x14ac:dyDescent="0.25">
      <c r="A5" s="53" t="s">
        <v>26</v>
      </c>
      <c r="B5" s="52"/>
      <c r="C5" s="61"/>
      <c r="D5" s="63"/>
      <c r="E5" s="62"/>
      <c r="F5" s="60"/>
      <c r="G5" s="60"/>
      <c r="H5" s="59"/>
      <c r="I5" s="54"/>
      <c r="J5" s="55">
        <v>1</v>
      </c>
      <c r="K5" s="56">
        <v>2</v>
      </c>
      <c r="L5" s="56">
        <v>3</v>
      </c>
      <c r="M5" s="58">
        <v>4</v>
      </c>
      <c r="N5" s="57">
        <v>5</v>
      </c>
      <c r="P5" s="1960" t="s">
        <v>53</v>
      </c>
      <c r="Q5" s="1961"/>
      <c r="R5" s="1961"/>
      <c r="S5" s="1961"/>
      <c r="T5" s="1962"/>
    </row>
    <row r="6" spans="1:20" x14ac:dyDescent="0.25">
      <c r="A6" s="87">
        <v>1</v>
      </c>
      <c r="B6" s="66">
        <f>'Plot By Plot SoA'!B288</f>
        <v>257</v>
      </c>
      <c r="C6" s="88">
        <f>'Plot By Plot SoA'!C288</f>
        <v>43.4</v>
      </c>
      <c r="D6" s="89">
        <f>'Plot By Plot SoA'!D288</f>
        <v>467.15325999999999</v>
      </c>
      <c r="E6" s="93"/>
      <c r="F6" s="95">
        <f>'Plot By Plot SoA'!G288</f>
        <v>0</v>
      </c>
      <c r="G6" s="95"/>
      <c r="H6" s="89"/>
      <c r="I6" s="94"/>
      <c r="J6" s="92"/>
      <c r="K6" s="93"/>
      <c r="L6" s="93">
        <f>'Plot By Plot SoA'!M288</f>
        <v>0</v>
      </c>
      <c r="M6" s="93"/>
      <c r="N6" s="94"/>
      <c r="P6" s="164"/>
      <c r="Q6" s="159" t="s">
        <v>54</v>
      </c>
      <c r="R6" s="159" t="s">
        <v>55</v>
      </c>
      <c r="S6" s="160" t="s">
        <v>56</v>
      </c>
      <c r="T6" s="163" t="s">
        <v>52</v>
      </c>
    </row>
    <row r="7" spans="1:20" x14ac:dyDescent="0.25">
      <c r="A7" s="65">
        <v>2</v>
      </c>
      <c r="B7" s="75">
        <f>'Plot By Plot SoA'!B290</f>
        <v>259</v>
      </c>
      <c r="C7" s="69">
        <f>'Plot By Plot SoA'!C290</f>
        <v>43.4</v>
      </c>
      <c r="D7" s="68">
        <f>'Plot By Plot SoA'!D290</f>
        <v>467.15325999999999</v>
      </c>
      <c r="E7" s="69"/>
      <c r="F7" s="69"/>
      <c r="G7" s="69">
        <f>'Plot By Plot SoA'!H290</f>
        <v>0</v>
      </c>
      <c r="H7" s="77"/>
      <c r="I7" s="71"/>
      <c r="J7" s="76"/>
      <c r="K7" s="74">
        <f>'Plot By Plot SoA'!L290</f>
        <v>0</v>
      </c>
      <c r="L7" s="74"/>
      <c r="M7" s="74"/>
      <c r="N7" s="71"/>
      <c r="P7" s="155" t="s">
        <v>28</v>
      </c>
      <c r="Q7" s="103">
        <v>0</v>
      </c>
      <c r="R7" s="103">
        <v>0</v>
      </c>
      <c r="S7" s="70">
        <v>10</v>
      </c>
      <c r="T7" s="71">
        <f>SUM(Q7:S7)</f>
        <v>10</v>
      </c>
    </row>
    <row r="8" spans="1:20" x14ac:dyDescent="0.25">
      <c r="A8" s="65">
        <v>3</v>
      </c>
      <c r="B8" s="75">
        <f>'Plot By Plot SoA'!B292</f>
        <v>261</v>
      </c>
      <c r="C8" s="69">
        <f>'Plot By Plot SoA'!C292</f>
        <v>43.4</v>
      </c>
      <c r="D8" s="68">
        <f>'Plot By Plot SoA'!D292</f>
        <v>467.15325999999999</v>
      </c>
      <c r="E8" s="69"/>
      <c r="F8" s="69"/>
      <c r="G8" s="69">
        <f>'Plot By Plot SoA'!H292</f>
        <v>0</v>
      </c>
      <c r="H8" s="77"/>
      <c r="I8" s="71"/>
      <c r="J8" s="76"/>
      <c r="K8" s="74">
        <f>'Plot By Plot SoA'!L292</f>
        <v>0</v>
      </c>
      <c r="L8" s="69"/>
      <c r="M8" s="74"/>
      <c r="N8" s="71"/>
      <c r="P8" s="155" t="s">
        <v>29</v>
      </c>
      <c r="Q8" s="103">
        <v>0</v>
      </c>
      <c r="R8" s="103">
        <v>11</v>
      </c>
      <c r="S8" s="70">
        <v>0</v>
      </c>
      <c r="T8" s="71">
        <f>SUM(Q8:S8)</f>
        <v>11</v>
      </c>
    </row>
    <row r="9" spans="1:20" ht="15.75" thickBot="1" x14ac:dyDescent="0.3">
      <c r="A9" s="65">
        <v>4</v>
      </c>
      <c r="B9" s="75">
        <f>'Plot By Plot SoA'!B294</f>
        <v>263</v>
      </c>
      <c r="C9" s="69">
        <f>'Plot By Plot SoA'!C294</f>
        <v>43.4</v>
      </c>
      <c r="D9" s="68">
        <f>'Plot By Plot SoA'!D294</f>
        <v>467.15325999999999</v>
      </c>
      <c r="E9" s="69"/>
      <c r="F9" s="69"/>
      <c r="G9" s="69">
        <f>'Plot By Plot SoA'!H294</f>
        <v>0</v>
      </c>
      <c r="H9" s="70"/>
      <c r="I9" s="71"/>
      <c r="J9" s="76"/>
      <c r="K9" s="74">
        <f>'Plot By Plot SoA'!L294</f>
        <v>0</v>
      </c>
      <c r="L9" s="74"/>
      <c r="M9" s="74"/>
      <c r="N9" s="71"/>
      <c r="P9" s="165" t="s">
        <v>30</v>
      </c>
      <c r="Q9" s="161">
        <v>1</v>
      </c>
      <c r="R9" s="161">
        <v>0</v>
      </c>
      <c r="S9" s="162">
        <v>1</v>
      </c>
      <c r="T9" s="71">
        <f>SUM(Q9:S9)</f>
        <v>2</v>
      </c>
    </row>
    <row r="10" spans="1:20" ht="15.75" thickBot="1" x14ac:dyDescent="0.3">
      <c r="A10" s="65">
        <v>5</v>
      </c>
      <c r="B10" s="75">
        <f>'Plot By Plot SoA'!B296</f>
        <v>265</v>
      </c>
      <c r="C10" s="69">
        <f>'Plot By Plot SoA'!C296</f>
        <v>43.4</v>
      </c>
      <c r="D10" s="68">
        <f>'Plot By Plot SoA'!D296</f>
        <v>467.15325999999999</v>
      </c>
      <c r="E10" s="69"/>
      <c r="F10" s="69"/>
      <c r="G10" s="69"/>
      <c r="H10" s="70" t="str">
        <f>'Plot By Plot SoA'!I296</f>
        <v>Y</v>
      </c>
      <c r="I10" s="71"/>
      <c r="J10" s="76" t="str">
        <f>'Plot By Plot SoA'!K296</f>
        <v>Y</v>
      </c>
      <c r="K10" s="74"/>
      <c r="L10" s="74"/>
      <c r="M10" s="74"/>
      <c r="N10" s="71"/>
      <c r="P10" s="156" t="s">
        <v>52</v>
      </c>
      <c r="Q10" s="154">
        <f>SUM(Q7:Q9)</f>
        <v>1</v>
      </c>
      <c r="R10" s="154">
        <f>SUM(R7:R9)</f>
        <v>11</v>
      </c>
      <c r="S10" s="154">
        <f>SUM(S7:S9)</f>
        <v>11</v>
      </c>
      <c r="T10" s="153">
        <f>SUM(Q10:S10)</f>
        <v>23</v>
      </c>
    </row>
    <row r="11" spans="1:20" x14ac:dyDescent="0.25">
      <c r="A11" s="65">
        <v>6</v>
      </c>
      <c r="B11" s="75">
        <f>'Plot By Plot SoA'!B297</f>
        <v>266</v>
      </c>
      <c r="C11" s="69">
        <f>'Plot By Plot SoA'!C297</f>
        <v>43.4</v>
      </c>
      <c r="D11" s="68">
        <f>'Plot By Plot SoA'!D297</f>
        <v>467.15325999999999</v>
      </c>
      <c r="E11" s="69"/>
      <c r="F11" s="69"/>
      <c r="G11" s="69"/>
      <c r="H11" s="77" t="str">
        <f>'Plot By Plot SoA'!I297</f>
        <v>Y</v>
      </c>
      <c r="I11" s="71"/>
      <c r="J11" s="76" t="str">
        <f>'Plot By Plot SoA'!K297</f>
        <v>Y</v>
      </c>
      <c r="K11" s="74"/>
      <c r="L11" s="74"/>
      <c r="M11" s="74"/>
      <c r="N11" s="71"/>
    </row>
    <row r="12" spans="1:20" x14ac:dyDescent="0.25">
      <c r="A12" s="65">
        <v>7</v>
      </c>
      <c r="B12" s="75">
        <f>'Plot By Plot SoA'!B298</f>
        <v>267</v>
      </c>
      <c r="C12" s="69">
        <f>'Plot By Plot SoA'!C298</f>
        <v>43.4</v>
      </c>
      <c r="D12" s="68">
        <f>'Plot By Plot SoA'!D298</f>
        <v>467.15325999999999</v>
      </c>
      <c r="E12" s="69"/>
      <c r="F12" s="69"/>
      <c r="G12" s="69"/>
      <c r="H12" s="77" t="str">
        <f>'Plot By Plot SoA'!I298</f>
        <v>Y</v>
      </c>
      <c r="I12" s="71"/>
      <c r="J12" s="76" t="str">
        <f>'Plot By Plot SoA'!K298</f>
        <v>Y</v>
      </c>
      <c r="K12" s="74"/>
      <c r="L12" s="74"/>
      <c r="M12" s="74"/>
      <c r="N12" s="71"/>
    </row>
    <row r="13" spans="1:20" x14ac:dyDescent="0.25">
      <c r="A13" s="65">
        <v>8</v>
      </c>
      <c r="B13" s="75">
        <f>'Plot By Plot SoA'!B299</f>
        <v>268</v>
      </c>
      <c r="C13" s="69">
        <f>'Plot By Plot SoA'!C299</f>
        <v>43.4</v>
      </c>
      <c r="D13" s="68">
        <f>'Plot By Plot SoA'!D299</f>
        <v>467.15325999999999</v>
      </c>
      <c r="E13" s="69"/>
      <c r="F13" s="69"/>
      <c r="G13" s="69"/>
      <c r="H13" s="77" t="str">
        <f>'Plot By Plot SoA'!I299</f>
        <v>Y</v>
      </c>
      <c r="I13" s="71"/>
      <c r="J13" s="76" t="str">
        <f>'Plot By Plot SoA'!K299</f>
        <v>Y</v>
      </c>
      <c r="K13" s="74"/>
      <c r="L13" s="74"/>
      <c r="M13" s="74"/>
      <c r="N13" s="71"/>
    </row>
    <row r="14" spans="1:20" x14ac:dyDescent="0.25">
      <c r="A14" s="65">
        <v>9</v>
      </c>
      <c r="B14" s="75">
        <f>'Plot By Plot SoA'!B300</f>
        <v>269</v>
      </c>
      <c r="C14" s="69">
        <f>'Plot By Plot SoA'!C300</f>
        <v>43.4</v>
      </c>
      <c r="D14" s="68">
        <f>'Plot By Plot SoA'!D300</f>
        <v>467.15325999999999</v>
      </c>
      <c r="E14" s="69"/>
      <c r="F14" s="69"/>
      <c r="G14" s="69"/>
      <c r="H14" s="77" t="str">
        <f>'Plot By Plot SoA'!I300</f>
        <v>Y</v>
      </c>
      <c r="I14" s="71"/>
      <c r="J14" s="76" t="str">
        <f>'Plot By Plot SoA'!K300</f>
        <v>Y</v>
      </c>
      <c r="K14" s="74"/>
      <c r="L14" s="74"/>
      <c r="M14" s="74"/>
      <c r="N14" s="71"/>
    </row>
    <row r="15" spans="1:20" x14ac:dyDescent="0.25">
      <c r="A15" s="65">
        <v>10</v>
      </c>
      <c r="B15" s="75">
        <f>'Plot By Plot SoA'!B301</f>
        <v>270</v>
      </c>
      <c r="C15" s="69">
        <f>'Plot By Plot SoA'!C301</f>
        <v>51.2</v>
      </c>
      <c r="D15" s="68">
        <f>'Plot By Plot SoA'!D301</f>
        <v>551.11167999999998</v>
      </c>
      <c r="E15" s="69"/>
      <c r="F15" s="69"/>
      <c r="G15" s="69"/>
      <c r="H15" s="77" t="str">
        <f>'Plot By Plot SoA'!I301</f>
        <v>Y</v>
      </c>
      <c r="I15" s="71"/>
      <c r="J15" s="76" t="str">
        <f>'Plot By Plot SoA'!K301</f>
        <v>Y</v>
      </c>
      <c r="K15" s="74"/>
      <c r="L15" s="74"/>
      <c r="M15" s="74"/>
      <c r="N15" s="71"/>
    </row>
    <row r="16" spans="1:20" x14ac:dyDescent="0.25">
      <c r="A16" s="65">
        <v>11</v>
      </c>
      <c r="B16" s="75">
        <f>'Plot By Plot SoA'!B302</f>
        <v>271</v>
      </c>
      <c r="C16" s="69">
        <f>'Plot By Plot SoA'!C302</f>
        <v>43.4</v>
      </c>
      <c r="D16" s="68">
        <f>'Plot By Plot SoA'!D302</f>
        <v>467.15325999999999</v>
      </c>
      <c r="E16" s="69"/>
      <c r="F16" s="69"/>
      <c r="G16" s="69"/>
      <c r="H16" s="77" t="str">
        <f>'Plot By Plot SoA'!I302</f>
        <v>Y</v>
      </c>
      <c r="I16" s="71"/>
      <c r="J16" s="76" t="str">
        <f>'Plot By Plot SoA'!K302</f>
        <v>Y</v>
      </c>
      <c r="K16" s="74"/>
      <c r="L16" s="74"/>
      <c r="M16" s="74"/>
      <c r="N16" s="71"/>
    </row>
    <row r="17" spans="1:14" x14ac:dyDescent="0.25">
      <c r="A17" s="65">
        <v>12</v>
      </c>
      <c r="B17" s="75">
        <f>'Plot By Plot SoA'!B303</f>
        <v>272</v>
      </c>
      <c r="C17" s="69">
        <f>'Plot By Plot SoA'!C303</f>
        <v>43.4</v>
      </c>
      <c r="D17" s="68">
        <f>'Plot By Plot SoA'!D303</f>
        <v>467.15325999999999</v>
      </c>
      <c r="E17" s="69"/>
      <c r="F17" s="69"/>
      <c r="G17" s="69"/>
      <c r="H17" s="77" t="str">
        <f>'Plot By Plot SoA'!I303</f>
        <v>Y</v>
      </c>
      <c r="I17" s="71"/>
      <c r="J17" s="76" t="str">
        <f>'Plot By Plot SoA'!K303</f>
        <v>Y</v>
      </c>
      <c r="K17" s="74"/>
      <c r="L17" s="74"/>
      <c r="M17" s="74"/>
      <c r="N17" s="71"/>
    </row>
    <row r="18" spans="1:14" x14ac:dyDescent="0.25">
      <c r="A18" s="65">
        <v>13</v>
      </c>
      <c r="B18" s="75">
        <f>'Plot By Plot SoA'!B305</f>
        <v>274</v>
      </c>
      <c r="C18" s="69">
        <f>'Plot By Plot SoA'!C305</f>
        <v>39.200000000000003</v>
      </c>
      <c r="D18" s="68">
        <f>'Plot By Plot SoA'!D305</f>
        <v>421.94488000000001</v>
      </c>
      <c r="E18" s="69"/>
      <c r="F18" s="69"/>
      <c r="G18" s="69"/>
      <c r="H18" s="77">
        <f>'Plot By Plot SoA'!I305</f>
        <v>0</v>
      </c>
      <c r="I18" s="71"/>
      <c r="J18" s="76" t="str">
        <f>'Plot By Plot SoA'!K305</f>
        <v>Y</v>
      </c>
      <c r="K18" s="74"/>
      <c r="L18" s="74"/>
      <c r="M18" s="74"/>
      <c r="N18" s="71"/>
    </row>
    <row r="19" spans="1:14" x14ac:dyDescent="0.25">
      <c r="A19" s="65">
        <v>14</v>
      </c>
      <c r="B19" s="75">
        <f>'Plot By Plot SoA'!B306</f>
        <v>275</v>
      </c>
      <c r="C19" s="69">
        <f>'Plot By Plot SoA'!C306</f>
        <v>57.8</v>
      </c>
      <c r="D19" s="68">
        <f>'Plot By Plot SoA'!D306</f>
        <v>622.15341999999998</v>
      </c>
      <c r="E19" s="69"/>
      <c r="F19" s="69"/>
      <c r="G19" s="69" t="str">
        <f>'Plot By Plot SoA'!H306</f>
        <v>Y</v>
      </c>
      <c r="H19" s="77"/>
      <c r="I19" s="71"/>
      <c r="J19" s="76"/>
      <c r="K19" s="74">
        <f>'Plot By Plot SoA'!L306</f>
        <v>0</v>
      </c>
      <c r="L19" s="74"/>
      <c r="M19" s="74"/>
      <c r="N19" s="71"/>
    </row>
    <row r="20" spans="1:14" x14ac:dyDescent="0.25">
      <c r="A20" s="65">
        <v>15</v>
      </c>
      <c r="B20" s="75">
        <f>'Plot By Plot SoA'!B307</f>
        <v>276</v>
      </c>
      <c r="C20" s="69">
        <f>'Plot By Plot SoA'!C307</f>
        <v>57.8</v>
      </c>
      <c r="D20" s="68">
        <f>'Plot By Plot SoA'!D307</f>
        <v>622.15341999999998</v>
      </c>
      <c r="E20" s="69"/>
      <c r="F20" s="69"/>
      <c r="G20" s="69" t="str">
        <f>'Plot By Plot SoA'!H307</f>
        <v>Y</v>
      </c>
      <c r="H20" s="77"/>
      <c r="I20" s="71"/>
      <c r="J20" s="76"/>
      <c r="K20" s="74">
        <f>'Plot By Plot SoA'!L307</f>
        <v>0</v>
      </c>
      <c r="L20" s="74"/>
      <c r="M20" s="74"/>
      <c r="N20" s="71"/>
    </row>
    <row r="21" spans="1:14" x14ac:dyDescent="0.25">
      <c r="A21" s="65">
        <v>16</v>
      </c>
      <c r="B21" s="75">
        <f>'Plot By Plot SoA'!B308</f>
        <v>277</v>
      </c>
      <c r="C21" s="69">
        <f>'Plot By Plot SoA'!C308</f>
        <v>50.1</v>
      </c>
      <c r="D21" s="68">
        <f>'Plot By Plot SoA'!D308</f>
        <v>539.27139</v>
      </c>
      <c r="E21" s="69"/>
      <c r="F21" s="69"/>
      <c r="G21" s="69">
        <f>'Plot By Plot SoA'!H308</f>
        <v>0</v>
      </c>
      <c r="H21" s="77"/>
      <c r="I21" s="71"/>
      <c r="J21" s="76"/>
      <c r="K21" s="74">
        <f>'Plot By Plot SoA'!L308</f>
        <v>0</v>
      </c>
      <c r="L21" s="74"/>
      <c r="M21" s="74"/>
      <c r="N21" s="71"/>
    </row>
    <row r="22" spans="1:14" x14ac:dyDescent="0.25">
      <c r="A22" s="65">
        <v>17</v>
      </c>
      <c r="B22" s="75">
        <f>'Plot By Plot SoA'!B309</f>
        <v>278</v>
      </c>
      <c r="C22" s="69">
        <f>'Plot By Plot SoA'!C309</f>
        <v>100.1</v>
      </c>
      <c r="D22" s="68">
        <f>'Plot By Plot SoA'!D309</f>
        <v>1077.4663899999998</v>
      </c>
      <c r="E22" s="69"/>
      <c r="F22" s="69"/>
      <c r="G22" s="69" t="str">
        <f>'Plot By Plot SoA'!H309</f>
        <v>Y</v>
      </c>
      <c r="H22" s="77"/>
      <c r="I22" s="71"/>
      <c r="J22" s="76"/>
      <c r="K22" s="74" t="str">
        <f>'Plot By Plot SoA'!L309</f>
        <v>Y</v>
      </c>
      <c r="L22" s="74"/>
      <c r="M22" s="74"/>
      <c r="N22" s="71"/>
    </row>
    <row r="23" spans="1:14" x14ac:dyDescent="0.25">
      <c r="A23" s="65">
        <v>18</v>
      </c>
      <c r="B23" s="75">
        <f>'Plot By Plot SoA'!B310</f>
        <v>279</v>
      </c>
      <c r="C23" s="69">
        <f>'Plot By Plot SoA'!C310</f>
        <v>57.8</v>
      </c>
      <c r="D23" s="68">
        <f>'Plot By Plot SoA'!D310</f>
        <v>622.15341999999998</v>
      </c>
      <c r="E23" s="69"/>
      <c r="F23" s="69"/>
      <c r="G23" s="69" t="str">
        <f>'Plot By Plot SoA'!H310</f>
        <v>Y</v>
      </c>
      <c r="H23" s="77"/>
      <c r="I23" s="71"/>
      <c r="J23" s="76"/>
      <c r="K23" s="74">
        <f>'Plot By Plot SoA'!L310</f>
        <v>0</v>
      </c>
      <c r="L23" s="74"/>
      <c r="M23" s="74"/>
      <c r="N23" s="71"/>
    </row>
    <row r="24" spans="1:14" x14ac:dyDescent="0.25">
      <c r="A24" s="65">
        <v>19</v>
      </c>
      <c r="B24" s="75">
        <f>'Plot By Plot SoA'!B311</f>
        <v>280</v>
      </c>
      <c r="C24" s="69">
        <f>'Plot By Plot SoA'!C311</f>
        <v>57.8</v>
      </c>
      <c r="D24" s="68">
        <f>'Plot By Plot SoA'!D311</f>
        <v>622.15341999999998</v>
      </c>
      <c r="E24" s="69"/>
      <c r="F24" s="69"/>
      <c r="G24" s="69" t="str">
        <f>'Plot By Plot SoA'!H311</f>
        <v>Y</v>
      </c>
      <c r="H24" s="77"/>
      <c r="I24" s="71"/>
      <c r="J24" s="76"/>
      <c r="K24" s="74">
        <f>'Plot By Plot SoA'!L311</f>
        <v>0</v>
      </c>
      <c r="L24" s="74"/>
      <c r="M24" s="74"/>
      <c r="N24" s="71"/>
    </row>
    <row r="25" spans="1:14" x14ac:dyDescent="0.25">
      <c r="A25" s="65">
        <v>20</v>
      </c>
      <c r="B25" s="75">
        <f>'Plot By Plot SoA'!B313</f>
        <v>282</v>
      </c>
      <c r="C25" s="69">
        <f>'Plot By Plot SoA'!C313</f>
        <v>69.599999999999994</v>
      </c>
      <c r="D25" s="68">
        <f>'Plot By Plot SoA'!D313</f>
        <v>749.16743999999994</v>
      </c>
      <c r="E25" s="69"/>
      <c r="F25" s="69"/>
      <c r="G25" s="69" t="str">
        <f>'Plot By Plot SoA'!H313</f>
        <v>Y</v>
      </c>
      <c r="H25" s="77"/>
      <c r="I25" s="71"/>
      <c r="J25" s="76"/>
      <c r="K25" s="74" t="str">
        <f>'Plot By Plot SoA'!L313</f>
        <v>Y</v>
      </c>
      <c r="L25" s="74"/>
      <c r="M25" s="74"/>
      <c r="N25" s="71"/>
    </row>
    <row r="26" spans="1:14" x14ac:dyDescent="0.25">
      <c r="A26" s="65">
        <v>21</v>
      </c>
      <c r="B26" s="75">
        <f>'Plot By Plot SoA'!B316</f>
        <v>285</v>
      </c>
      <c r="C26" s="69">
        <f>'Plot By Plot SoA'!C316</f>
        <v>87.3</v>
      </c>
      <c r="D26" s="68">
        <f>'Plot By Plot SoA'!D316</f>
        <v>939.68846999999994</v>
      </c>
      <c r="E26" s="69"/>
      <c r="F26" s="69"/>
      <c r="G26" s="69" t="str">
        <f>'Plot By Plot SoA'!H316</f>
        <v>Y</v>
      </c>
      <c r="H26" s="77"/>
      <c r="I26" s="71"/>
      <c r="J26" s="76"/>
      <c r="K26" s="74">
        <f>'Plot By Plot SoA'!L316</f>
        <v>0</v>
      </c>
      <c r="L26" s="74"/>
      <c r="M26" s="74"/>
      <c r="N26" s="71"/>
    </row>
    <row r="27" spans="1:14" x14ac:dyDescent="0.25">
      <c r="A27" s="65">
        <v>22</v>
      </c>
      <c r="B27" s="75">
        <f>'Plot By Plot SoA'!B319</f>
        <v>288</v>
      </c>
      <c r="C27" s="69">
        <f>'Plot By Plot SoA'!C319</f>
        <v>69.599999999999994</v>
      </c>
      <c r="D27" s="68">
        <f>'Plot By Plot SoA'!D319</f>
        <v>749.16743999999994</v>
      </c>
      <c r="E27" s="69"/>
      <c r="F27" s="69"/>
      <c r="G27" s="69"/>
      <c r="H27" s="77">
        <f>'Plot By Plot SoA'!I319</f>
        <v>0</v>
      </c>
      <c r="I27" s="71"/>
      <c r="J27" s="76">
        <f>'Plot By Plot SoA'!K319</f>
        <v>0</v>
      </c>
      <c r="K27" s="74"/>
      <c r="L27" s="74"/>
      <c r="M27" s="74"/>
      <c r="N27" s="71"/>
    </row>
    <row r="28" spans="1:14" ht="15.75" thickBot="1" x14ac:dyDescent="0.3">
      <c r="A28" s="65">
        <v>23</v>
      </c>
      <c r="B28" s="75">
        <f>'Plot By Plot SoA'!B320</f>
        <v>289</v>
      </c>
      <c r="C28" s="69">
        <f>'Plot By Plot SoA'!C320</f>
        <v>59.4</v>
      </c>
      <c r="D28" s="68">
        <f>'Plot By Plot SoA'!D320</f>
        <v>639.37565999999993</v>
      </c>
      <c r="E28" s="69"/>
      <c r="F28" s="69"/>
      <c r="G28" s="69"/>
      <c r="H28" s="77" t="str">
        <f>'Plot By Plot SoA'!I320</f>
        <v>Y</v>
      </c>
      <c r="I28" s="71"/>
      <c r="J28" s="76"/>
      <c r="K28" s="74"/>
      <c r="L28" s="74">
        <f>'Plot By Plot SoA'!M320</f>
        <v>0</v>
      </c>
      <c r="M28" s="74"/>
      <c r="N28" s="71"/>
    </row>
    <row r="29" spans="1:14" ht="45.75" thickBot="1" x14ac:dyDescent="0.3">
      <c r="A29" s="1963"/>
      <c r="B29" s="46" t="s">
        <v>5</v>
      </c>
      <c r="C29" s="43"/>
      <c r="D29" s="44"/>
      <c r="E29" s="10">
        <f>COUNTA(E6:E28)</f>
        <v>0</v>
      </c>
      <c r="F29" s="10">
        <f>COUNTA(F6:F28)</f>
        <v>1</v>
      </c>
      <c r="G29" s="10">
        <f>COUNTA(G6:G28)</f>
        <v>11</v>
      </c>
      <c r="H29" s="10">
        <f>COUNTA(H6:H28)</f>
        <v>11</v>
      </c>
      <c r="I29" s="10"/>
      <c r="J29" s="14">
        <f>COUNTA(J6:J28)</f>
        <v>10</v>
      </c>
      <c r="K29" s="14">
        <f>COUNTA(K6:K28)</f>
        <v>11</v>
      </c>
      <c r="L29" s="14">
        <f>COUNTA(L6:L28)</f>
        <v>2</v>
      </c>
      <c r="M29" s="14">
        <f>COUNTA(M6:M28)</f>
        <v>0</v>
      </c>
      <c r="N29" s="45">
        <f>COUNTA(N15:N28)</f>
        <v>0</v>
      </c>
    </row>
    <row r="30" spans="1:14" ht="30.75" thickBot="1" x14ac:dyDescent="0.3">
      <c r="A30" s="1964"/>
      <c r="B30" s="47" t="s">
        <v>6</v>
      </c>
      <c r="C30" s="1954">
        <f>SUM(C6:C28)</f>
        <v>1235.0999999999999</v>
      </c>
      <c r="D30" s="1955"/>
      <c r="E30" s="1955"/>
      <c r="F30" s="1955"/>
      <c r="G30" s="1955"/>
      <c r="H30" s="1955"/>
      <c r="I30" s="1956"/>
      <c r="J30" s="49">
        <f>SUM(1/J31*J29)</f>
        <v>0.43478260869565216</v>
      </c>
      <c r="K30" s="50">
        <f>SUM(1/J31*K29)</f>
        <v>0.47826086956521741</v>
      </c>
      <c r="L30" s="50">
        <f>SUM(1/J31*L29)</f>
        <v>8.6956521739130432E-2</v>
      </c>
      <c r="M30" s="50">
        <f>SUM(1/J31*M29)</f>
        <v>0</v>
      </c>
      <c r="N30" s="51">
        <f>SUM(1/J31*N29)</f>
        <v>0</v>
      </c>
    </row>
    <row r="31" spans="1:14" ht="45.75" thickBot="1" x14ac:dyDescent="0.3">
      <c r="A31" s="1965"/>
      <c r="B31" s="48" t="s">
        <v>7</v>
      </c>
      <c r="C31" s="1509">
        <f>SUM(C30*10.7639)</f>
        <v>13294.492889999998</v>
      </c>
      <c r="D31" s="1510"/>
      <c r="E31" s="1510"/>
      <c r="F31" s="1510"/>
      <c r="G31" s="1510"/>
      <c r="H31" s="1510"/>
      <c r="I31" s="1511"/>
      <c r="J31" s="1957">
        <f>SUM(J29:N29)</f>
        <v>23</v>
      </c>
      <c r="K31" s="1958"/>
      <c r="L31" s="1958"/>
      <c r="M31" s="1958"/>
      <c r="N31" s="1959"/>
    </row>
  </sheetData>
  <mergeCells count="17">
    <mergeCell ref="P5:T5"/>
    <mergeCell ref="A29:A31"/>
    <mergeCell ref="C30:I30"/>
    <mergeCell ref="C31:I31"/>
    <mergeCell ref="J31:N31"/>
    <mergeCell ref="A1:A2"/>
    <mergeCell ref="B1:N2"/>
    <mergeCell ref="A3:A4"/>
    <mergeCell ref="J3:N4"/>
    <mergeCell ref="B3:B4"/>
    <mergeCell ref="C3:C4"/>
    <mergeCell ref="D3:D4"/>
    <mergeCell ref="E3:E4"/>
    <mergeCell ref="F3:F4"/>
    <mergeCell ref="G3:G4"/>
    <mergeCell ref="H3:H4"/>
    <mergeCell ref="I3:I4"/>
  </mergeCells>
  <pageMargins left="0.7" right="0.7" top="0.75" bottom="0.75" header="0.3" footer="0.3"/>
  <pageSetup paperSize="8" scale="71" fitToHeight="0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B7839-5199-4EC2-BCCF-239AE535AE1D}">
  <sheetPr>
    <pageSetUpPr fitToPage="1"/>
  </sheetPr>
  <dimension ref="A1:T43"/>
  <sheetViews>
    <sheetView topLeftCell="A3" workbookViewId="0">
      <selection activeCell="I25" sqref="I25"/>
    </sheetView>
  </sheetViews>
  <sheetFormatPr defaultRowHeight="15" x14ac:dyDescent="0.25"/>
  <cols>
    <col min="1" max="1" width="12.42578125" bestFit="1" customWidth="1"/>
    <col min="6" max="6" width="13.28515625" customWidth="1"/>
  </cols>
  <sheetData>
    <row r="1" spans="1:20" x14ac:dyDescent="0.25">
      <c r="A1" s="1730"/>
      <c r="B1" s="1966" t="s">
        <v>37</v>
      </c>
      <c r="C1" s="1302"/>
      <c r="D1" s="1302"/>
      <c r="E1" s="1302"/>
      <c r="F1" s="1302"/>
      <c r="G1" s="1302"/>
      <c r="H1" s="1302"/>
      <c r="I1" s="1302"/>
      <c r="J1" s="1302"/>
      <c r="K1" s="1302"/>
      <c r="L1" s="1302"/>
      <c r="M1" s="1302"/>
      <c r="N1" s="1303"/>
    </row>
    <row r="2" spans="1:20" ht="15.75" thickBot="1" x14ac:dyDescent="0.3">
      <c r="A2" s="1731"/>
      <c r="B2" s="1967"/>
      <c r="C2" s="1305"/>
      <c r="D2" s="1305"/>
      <c r="E2" s="1305"/>
      <c r="F2" s="1305"/>
      <c r="G2" s="1305"/>
      <c r="H2" s="1305"/>
      <c r="I2" s="1305"/>
      <c r="J2" s="1305"/>
      <c r="K2" s="1305"/>
      <c r="L2" s="1305"/>
      <c r="M2" s="1305"/>
      <c r="N2" s="1306"/>
    </row>
    <row r="3" spans="1:20" x14ac:dyDescent="0.25">
      <c r="A3" s="1731"/>
      <c r="B3" s="1968" t="s">
        <v>0</v>
      </c>
      <c r="C3" s="1407" t="s">
        <v>4</v>
      </c>
      <c r="D3" s="1974" t="s">
        <v>18</v>
      </c>
      <c r="E3" s="1415" t="s">
        <v>15</v>
      </c>
      <c r="F3" s="1415" t="s">
        <v>3</v>
      </c>
      <c r="G3" s="1415" t="s">
        <v>16</v>
      </c>
      <c r="H3" s="1417" t="s">
        <v>17</v>
      </c>
      <c r="I3" s="1970" t="s">
        <v>1</v>
      </c>
      <c r="J3" s="1972" t="s">
        <v>2</v>
      </c>
      <c r="K3" s="1409"/>
      <c r="L3" s="1409"/>
      <c r="M3" s="1409"/>
      <c r="N3" s="1410"/>
    </row>
    <row r="4" spans="1:20" ht="15.75" thickBot="1" x14ac:dyDescent="0.3">
      <c r="A4" s="1732"/>
      <c r="B4" s="1969"/>
      <c r="C4" s="1408"/>
      <c r="D4" s="1975"/>
      <c r="E4" s="1416"/>
      <c r="F4" s="1416"/>
      <c r="G4" s="1416"/>
      <c r="H4" s="1418"/>
      <c r="I4" s="1971"/>
      <c r="J4" s="1973"/>
      <c r="K4" s="1411"/>
      <c r="L4" s="1411"/>
      <c r="M4" s="1411"/>
      <c r="N4" s="1412"/>
    </row>
    <row r="5" spans="1:20" ht="15.75" thickTop="1" x14ac:dyDescent="0.25">
      <c r="A5" s="53" t="s">
        <v>46</v>
      </c>
      <c r="B5" s="52"/>
      <c r="C5" s="61"/>
      <c r="D5" s="63"/>
      <c r="E5" s="62"/>
      <c r="F5" s="60"/>
      <c r="G5" s="60"/>
      <c r="H5" s="59"/>
      <c r="I5" s="54"/>
      <c r="J5" s="55">
        <v>1</v>
      </c>
      <c r="K5" s="56">
        <v>2</v>
      </c>
      <c r="L5" s="56">
        <v>3</v>
      </c>
      <c r="M5" s="58">
        <v>4</v>
      </c>
      <c r="N5" s="57">
        <v>5</v>
      </c>
      <c r="P5" s="1960" t="s">
        <v>59</v>
      </c>
      <c r="Q5" s="1961"/>
      <c r="R5" s="1961"/>
      <c r="S5" s="1961"/>
      <c r="T5" s="1962"/>
    </row>
    <row r="6" spans="1:20" x14ac:dyDescent="0.25">
      <c r="A6" s="87">
        <v>1</v>
      </c>
      <c r="B6" s="66">
        <f>'Plot By Plot SoA'!B98</f>
        <v>85</v>
      </c>
      <c r="C6" s="100">
        <f>'Plot By Plot SoA'!C98</f>
        <v>78</v>
      </c>
      <c r="D6" s="91">
        <f>'Plot By Plot SoA'!D98</f>
        <v>839.58420000000001</v>
      </c>
      <c r="E6" s="100"/>
      <c r="F6" s="73"/>
      <c r="G6" s="73"/>
      <c r="H6" s="101">
        <f>'Plot By Plot SoA'!I98</f>
        <v>0</v>
      </c>
      <c r="I6" s="90"/>
      <c r="J6" s="72">
        <f>'Plot By Plot SoA'!K98</f>
        <v>0</v>
      </c>
      <c r="K6" s="88"/>
      <c r="L6" s="73"/>
      <c r="M6" s="88"/>
      <c r="N6" s="71"/>
      <c r="P6" s="164"/>
      <c r="Q6" s="159" t="s">
        <v>54</v>
      </c>
      <c r="R6" s="159" t="s">
        <v>55</v>
      </c>
      <c r="S6" s="160" t="s">
        <v>56</v>
      </c>
      <c r="T6" s="163" t="s">
        <v>52</v>
      </c>
    </row>
    <row r="7" spans="1:20" x14ac:dyDescent="0.25">
      <c r="A7" s="65">
        <v>2</v>
      </c>
      <c r="B7" s="75">
        <f>'Plot By Plot SoA'!B99</f>
        <v>86</v>
      </c>
      <c r="C7" s="67">
        <f>'Plot By Plot SoA'!C99</f>
        <v>78</v>
      </c>
      <c r="D7" s="102">
        <f>'Plot By Plot SoA'!D99</f>
        <v>839.58420000000001</v>
      </c>
      <c r="E7" s="67"/>
      <c r="F7" s="74"/>
      <c r="G7" s="74"/>
      <c r="H7" s="70">
        <f>'Plot By Plot SoA'!I99</f>
        <v>0</v>
      </c>
      <c r="I7" s="71"/>
      <c r="J7" s="76">
        <f>'Plot By Plot SoA'!K99</f>
        <v>0</v>
      </c>
      <c r="K7" s="69"/>
      <c r="L7" s="74"/>
      <c r="M7" s="69"/>
      <c r="N7" s="71"/>
      <c r="P7" s="155" t="s">
        <v>28</v>
      </c>
      <c r="Q7" s="103">
        <v>0</v>
      </c>
      <c r="R7" s="103">
        <v>0</v>
      </c>
      <c r="S7" s="70">
        <v>12</v>
      </c>
      <c r="T7" s="71">
        <f>SUM(Q7:S7)</f>
        <v>12</v>
      </c>
    </row>
    <row r="8" spans="1:20" x14ac:dyDescent="0.25">
      <c r="A8" s="65">
        <v>3</v>
      </c>
      <c r="B8" s="75">
        <f>'Plot By Plot SoA'!B100</f>
        <v>87</v>
      </c>
      <c r="C8" s="67">
        <f>'Plot By Plot SoA'!C100</f>
        <v>99.1</v>
      </c>
      <c r="D8" s="102">
        <f>'Plot By Plot SoA'!D100</f>
        <v>1066.7024899999999</v>
      </c>
      <c r="E8" s="67"/>
      <c r="F8" s="74"/>
      <c r="G8" s="74"/>
      <c r="H8" s="70">
        <f>'Plot By Plot SoA'!I100</f>
        <v>0</v>
      </c>
      <c r="I8" s="71"/>
      <c r="J8" s="76">
        <f>'Plot By Plot SoA'!K100</f>
        <v>0</v>
      </c>
      <c r="K8" s="69"/>
      <c r="L8" s="74"/>
      <c r="M8" s="69"/>
      <c r="N8" s="71"/>
      <c r="P8" s="155" t="s">
        <v>29</v>
      </c>
      <c r="Q8" s="103">
        <v>2</v>
      </c>
      <c r="R8" s="103">
        <v>21</v>
      </c>
      <c r="S8" s="70">
        <v>0</v>
      </c>
      <c r="T8" s="71">
        <f>SUM(Q8:S8)</f>
        <v>23</v>
      </c>
    </row>
    <row r="9" spans="1:20" ht="15.75" thickBot="1" x14ac:dyDescent="0.3">
      <c r="A9" s="65">
        <v>4</v>
      </c>
      <c r="B9" s="75">
        <f>'Plot By Plot SoA'!B102</f>
        <v>88</v>
      </c>
      <c r="C9" s="67">
        <f>'Plot By Plot SoA'!C102</f>
        <v>131.4</v>
      </c>
      <c r="D9" s="102">
        <f>'Plot By Plot SoA'!D102</f>
        <v>1414.37646</v>
      </c>
      <c r="E9" s="67"/>
      <c r="F9" s="74"/>
      <c r="G9" s="74"/>
      <c r="H9" s="70">
        <f>'Plot By Plot SoA'!I102</f>
        <v>0</v>
      </c>
      <c r="I9" s="71"/>
      <c r="J9" s="76">
        <f>'Plot By Plot SoA'!K102</f>
        <v>0</v>
      </c>
      <c r="K9" s="69"/>
      <c r="L9" s="74"/>
      <c r="M9" s="69"/>
      <c r="N9" s="71"/>
      <c r="P9" s="165" t="s">
        <v>30</v>
      </c>
      <c r="Q9" s="161">
        <v>0</v>
      </c>
      <c r="R9" s="161">
        <v>0</v>
      </c>
      <c r="S9" s="162">
        <v>0</v>
      </c>
      <c r="T9" s="71">
        <f>SUM(Q9:S9)</f>
        <v>0</v>
      </c>
    </row>
    <row r="10" spans="1:20" ht="15.75" thickBot="1" x14ac:dyDescent="0.3">
      <c r="A10" s="65">
        <v>5</v>
      </c>
      <c r="B10" s="75">
        <f>'Plot By Plot SoA'!B104</f>
        <v>89</v>
      </c>
      <c r="C10" s="67">
        <f>'Plot By Plot SoA'!C104</f>
        <v>131.4</v>
      </c>
      <c r="D10" s="102">
        <f>'Plot By Plot SoA'!D104</f>
        <v>1414.37646</v>
      </c>
      <c r="E10" s="67"/>
      <c r="F10" s="74"/>
      <c r="G10" s="74"/>
      <c r="H10" s="70">
        <f>'Plot By Plot SoA'!I104</f>
        <v>0</v>
      </c>
      <c r="I10" s="71"/>
      <c r="J10" s="76">
        <f>'Plot By Plot SoA'!K104</f>
        <v>0</v>
      </c>
      <c r="K10" s="103"/>
      <c r="L10" s="74"/>
      <c r="M10" s="69"/>
      <c r="N10" s="71"/>
      <c r="P10" s="156" t="s">
        <v>52</v>
      </c>
      <c r="Q10" s="154">
        <f>SUM(Q7:Q9)</f>
        <v>2</v>
      </c>
      <c r="R10" s="154">
        <f>SUM(R7:R9)</f>
        <v>21</v>
      </c>
      <c r="S10" s="154">
        <f>SUM(S7:S9)</f>
        <v>12</v>
      </c>
      <c r="T10" s="153">
        <f>SUM(Q10:S10)</f>
        <v>35</v>
      </c>
    </row>
    <row r="11" spans="1:20" x14ac:dyDescent="0.25">
      <c r="A11" s="65">
        <v>6</v>
      </c>
      <c r="B11" s="75">
        <f>'Plot By Plot SoA'!B105</f>
        <v>90</v>
      </c>
      <c r="C11" s="67">
        <f>'Plot By Plot SoA'!C105</f>
        <v>77.099999999999994</v>
      </c>
      <c r="D11" s="102">
        <f>'Plot By Plot SoA'!D105</f>
        <v>829.89668999999992</v>
      </c>
      <c r="E11" s="67"/>
      <c r="F11" s="74"/>
      <c r="G11" s="74"/>
      <c r="H11" s="70">
        <f>'Plot By Plot SoA'!I105</f>
        <v>0</v>
      </c>
      <c r="I11" s="71"/>
      <c r="J11" s="76">
        <f>'Plot By Plot SoA'!K105</f>
        <v>0</v>
      </c>
      <c r="K11" s="69"/>
      <c r="L11" s="74"/>
      <c r="M11" s="69"/>
      <c r="N11" s="71"/>
    </row>
    <row r="12" spans="1:20" x14ac:dyDescent="0.25">
      <c r="A12" s="65">
        <v>7</v>
      </c>
      <c r="B12" s="75">
        <f>'Plot By Plot SoA'!B106</f>
        <v>91</v>
      </c>
      <c r="C12" s="67">
        <f>'Plot By Plot SoA'!C106</f>
        <v>70</v>
      </c>
      <c r="D12" s="102">
        <f>'Plot By Plot SoA'!D106</f>
        <v>753.47299999999996</v>
      </c>
      <c r="E12" s="67"/>
      <c r="F12" s="74"/>
      <c r="G12" s="74"/>
      <c r="H12" s="70">
        <f>'Plot By Plot SoA'!I106</f>
        <v>0</v>
      </c>
      <c r="I12" s="71"/>
      <c r="J12" s="76">
        <f>'Plot By Plot SoA'!K106</f>
        <v>0</v>
      </c>
      <c r="K12" s="69"/>
      <c r="L12" s="74"/>
      <c r="M12" s="69"/>
      <c r="N12" s="71"/>
    </row>
    <row r="13" spans="1:20" x14ac:dyDescent="0.25">
      <c r="A13" s="65">
        <v>8</v>
      </c>
      <c r="B13" s="75">
        <f>'Plot By Plot SoA'!B107</f>
        <v>92</v>
      </c>
      <c r="C13" s="67">
        <f>'Plot By Plot SoA'!C107</f>
        <v>70</v>
      </c>
      <c r="D13" s="102">
        <f>'Plot By Plot SoA'!D107</f>
        <v>753.47299999999996</v>
      </c>
      <c r="E13" s="67"/>
      <c r="F13" s="74"/>
      <c r="G13" s="74"/>
      <c r="H13" s="70">
        <f>'Plot By Plot SoA'!I107</f>
        <v>0</v>
      </c>
      <c r="I13" s="71"/>
      <c r="J13" s="76">
        <f>'Plot By Plot SoA'!K107</f>
        <v>0</v>
      </c>
      <c r="K13" s="69"/>
      <c r="L13" s="74"/>
      <c r="M13" s="74"/>
      <c r="N13" s="71"/>
    </row>
    <row r="14" spans="1:20" x14ac:dyDescent="0.25">
      <c r="A14" s="65">
        <v>9</v>
      </c>
      <c r="B14" s="75">
        <f>'Plot By Plot SoA'!B108</f>
        <v>93</v>
      </c>
      <c r="C14" s="67">
        <f>'Plot By Plot SoA'!C108</f>
        <v>76.599999999999994</v>
      </c>
      <c r="D14" s="102">
        <f>'Plot By Plot SoA'!D108</f>
        <v>824.51473999999996</v>
      </c>
      <c r="E14" s="67"/>
      <c r="F14" s="74"/>
      <c r="G14" s="74"/>
      <c r="H14" s="70">
        <f>'Plot By Plot SoA'!I108</f>
        <v>0</v>
      </c>
      <c r="I14" s="71"/>
      <c r="J14" s="76">
        <f>'Plot By Plot SoA'!K108</f>
        <v>0</v>
      </c>
      <c r="K14" s="69"/>
      <c r="L14" s="74"/>
      <c r="M14" s="74"/>
      <c r="N14" s="71"/>
    </row>
    <row r="15" spans="1:20" x14ac:dyDescent="0.25">
      <c r="A15" s="65">
        <v>10</v>
      </c>
      <c r="B15" s="75">
        <f>'Plot By Plot SoA'!B111</f>
        <v>95</v>
      </c>
      <c r="C15" s="67">
        <f>'Plot By Plot SoA'!C111</f>
        <v>80.3</v>
      </c>
      <c r="D15" s="102">
        <f>'Plot By Plot SoA'!D111</f>
        <v>864.34116999999992</v>
      </c>
      <c r="E15" s="67"/>
      <c r="F15" s="74"/>
      <c r="G15" s="74"/>
      <c r="H15" s="70">
        <f>'Plot By Plot SoA'!I111</f>
        <v>0</v>
      </c>
      <c r="I15" s="71"/>
      <c r="J15" s="76">
        <f>'Plot By Plot SoA'!K111</f>
        <v>0</v>
      </c>
      <c r="K15" s="69"/>
      <c r="L15" s="74"/>
      <c r="M15" s="74"/>
      <c r="N15" s="71"/>
    </row>
    <row r="16" spans="1:20" x14ac:dyDescent="0.25">
      <c r="A16" s="65">
        <v>11</v>
      </c>
      <c r="B16" s="75">
        <f>'Plot By Plot SoA'!B112</f>
        <v>96</v>
      </c>
      <c r="C16" s="67">
        <f>'Plot By Plot SoA'!C112</f>
        <v>81</v>
      </c>
      <c r="D16" s="102">
        <f>'Plot By Plot SoA'!D112</f>
        <v>871.8759</v>
      </c>
      <c r="E16" s="67"/>
      <c r="F16" s="74"/>
      <c r="G16" s="74">
        <f>'Plot By Plot SoA'!H112</f>
        <v>0</v>
      </c>
      <c r="H16" s="70"/>
      <c r="I16" s="71"/>
      <c r="J16" s="76"/>
      <c r="K16" s="69">
        <f>'Plot By Plot SoA'!L112</f>
        <v>0</v>
      </c>
      <c r="L16" s="74"/>
      <c r="M16" s="74"/>
      <c r="N16" s="71"/>
    </row>
    <row r="17" spans="1:14" x14ac:dyDescent="0.25">
      <c r="A17" s="65">
        <v>12</v>
      </c>
      <c r="B17" s="75">
        <f>'Plot By Plot SoA'!B117</f>
        <v>98</v>
      </c>
      <c r="C17" s="67">
        <f>'Plot By Plot SoA'!C117</f>
        <v>179.6</v>
      </c>
      <c r="D17" s="102">
        <f>'Plot By Plot SoA'!D117</f>
        <v>1933.1964399999999</v>
      </c>
      <c r="E17" s="67"/>
      <c r="F17" s="74"/>
      <c r="G17" s="74">
        <f>'Plot By Plot SoA'!H117</f>
        <v>0</v>
      </c>
      <c r="H17" s="70"/>
      <c r="I17" s="71"/>
      <c r="J17" s="76"/>
      <c r="K17" s="69">
        <f>'Plot By Plot SoA'!L117</f>
        <v>0</v>
      </c>
      <c r="L17" s="74"/>
      <c r="M17" s="74"/>
      <c r="N17" s="71"/>
    </row>
    <row r="18" spans="1:14" x14ac:dyDescent="0.25">
      <c r="A18" s="65">
        <v>13</v>
      </c>
      <c r="B18" s="75">
        <f>'Plot By Plot SoA'!B121</f>
        <v>100</v>
      </c>
      <c r="C18" s="67">
        <f>'Plot By Plot SoA'!C121</f>
        <v>95</v>
      </c>
      <c r="D18" s="102">
        <f>'Plot By Plot SoA'!D121</f>
        <v>1022.5704999999999</v>
      </c>
      <c r="E18" s="67"/>
      <c r="F18" s="74"/>
      <c r="G18" s="74">
        <f>'Plot By Plot SoA'!H121</f>
        <v>0</v>
      </c>
      <c r="H18" s="70"/>
      <c r="I18" s="71"/>
      <c r="J18" s="76"/>
      <c r="K18" s="69" t="str">
        <f>'Plot By Plot SoA'!L121</f>
        <v>Y</v>
      </c>
      <c r="L18" s="74"/>
      <c r="M18" s="74"/>
      <c r="N18" s="71"/>
    </row>
    <row r="19" spans="1:14" x14ac:dyDescent="0.25">
      <c r="A19" s="65">
        <v>14</v>
      </c>
      <c r="B19" s="75">
        <f>'Plot By Plot SoA'!B123</f>
        <v>102</v>
      </c>
      <c r="C19" s="67">
        <f>'Plot By Plot SoA'!C123</f>
        <v>83.1</v>
      </c>
      <c r="D19" s="102">
        <f>'Plot By Plot SoA'!D123</f>
        <v>894.4800899999999</v>
      </c>
      <c r="E19" s="67"/>
      <c r="F19" s="74"/>
      <c r="G19" s="74">
        <f>'Plot By Plot SoA'!H123</f>
        <v>0</v>
      </c>
      <c r="H19" s="70"/>
      <c r="I19" s="71"/>
      <c r="J19" s="76"/>
      <c r="K19" s="69">
        <f>'Plot By Plot SoA'!L123</f>
        <v>0</v>
      </c>
      <c r="L19" s="74"/>
      <c r="M19" s="74"/>
      <c r="N19" s="71"/>
    </row>
    <row r="20" spans="1:14" x14ac:dyDescent="0.25">
      <c r="A20" s="65">
        <v>15</v>
      </c>
      <c r="B20" s="75">
        <f>'Plot By Plot SoA'!B126</f>
        <v>104</v>
      </c>
      <c r="C20" s="67">
        <f>'Plot By Plot SoA'!C126</f>
        <v>94.4</v>
      </c>
      <c r="D20" s="102">
        <f>'Plot By Plot SoA'!D126</f>
        <v>1016.11216</v>
      </c>
      <c r="E20" s="67"/>
      <c r="F20" s="74"/>
      <c r="G20" s="74">
        <f>'Plot By Plot SoA'!H126</f>
        <v>0</v>
      </c>
      <c r="H20" s="70"/>
      <c r="I20" s="71"/>
      <c r="J20" s="76"/>
      <c r="K20" s="69" t="str">
        <f>'Plot By Plot SoA'!L126</f>
        <v>Y</v>
      </c>
      <c r="L20" s="74"/>
      <c r="M20" s="74"/>
      <c r="N20" s="71"/>
    </row>
    <row r="21" spans="1:14" x14ac:dyDescent="0.25">
      <c r="A21" s="65">
        <v>16</v>
      </c>
      <c r="B21" s="75">
        <f>'Plot By Plot SoA'!B129</f>
        <v>106</v>
      </c>
      <c r="C21" s="67">
        <f>'Plot By Plot SoA'!C129</f>
        <v>89.4</v>
      </c>
      <c r="D21" s="102">
        <f>'Plot By Plot SoA'!D129</f>
        <v>962.29266000000007</v>
      </c>
      <c r="E21" s="67"/>
      <c r="F21" s="74"/>
      <c r="G21" s="74">
        <f>'Plot By Plot SoA'!H129</f>
        <v>0</v>
      </c>
      <c r="H21" s="70"/>
      <c r="I21" s="71"/>
      <c r="J21" s="76"/>
      <c r="K21" s="69">
        <f>'Plot By Plot SoA'!L129</f>
        <v>0</v>
      </c>
      <c r="L21" s="74"/>
      <c r="M21" s="74"/>
      <c r="N21" s="71"/>
    </row>
    <row r="22" spans="1:14" x14ac:dyDescent="0.25">
      <c r="A22" s="65">
        <v>17</v>
      </c>
      <c r="B22" s="75">
        <f>'Plot By Plot SoA'!B131</f>
        <v>108</v>
      </c>
      <c r="C22" s="67">
        <f>'Plot By Plot SoA'!C131</f>
        <v>108</v>
      </c>
      <c r="D22" s="102">
        <f>'Plot By Plot SoA'!D131</f>
        <v>1162.5011999999999</v>
      </c>
      <c r="E22" s="67"/>
      <c r="F22" s="74"/>
      <c r="G22" s="74">
        <f>'Plot By Plot SoA'!H131</f>
        <v>0</v>
      </c>
      <c r="H22" s="70"/>
      <c r="I22" s="71"/>
      <c r="J22" s="76"/>
      <c r="K22" s="69">
        <f>'Plot By Plot SoA'!L131</f>
        <v>0</v>
      </c>
      <c r="L22" s="74"/>
      <c r="M22" s="74"/>
      <c r="N22" s="71"/>
    </row>
    <row r="23" spans="1:14" x14ac:dyDescent="0.25">
      <c r="A23" s="65">
        <v>18</v>
      </c>
      <c r="B23" s="75">
        <f>'Plot By Plot SoA'!B133</f>
        <v>110</v>
      </c>
      <c r="C23" s="67">
        <f>'Plot By Plot SoA'!C133</f>
        <v>72.900000000000006</v>
      </c>
      <c r="D23" s="102">
        <f>'Plot By Plot SoA'!D133</f>
        <v>784.68831</v>
      </c>
      <c r="E23" s="67"/>
      <c r="F23" s="74"/>
      <c r="G23" s="74">
        <f>'Plot By Plot SoA'!H133</f>
        <v>0</v>
      </c>
      <c r="H23" s="70"/>
      <c r="I23" s="71"/>
      <c r="J23" s="76"/>
      <c r="K23" s="69" t="str">
        <f>'Plot By Plot SoA'!L133</f>
        <v>Y</v>
      </c>
      <c r="L23" s="74"/>
      <c r="M23" s="74"/>
      <c r="N23" s="71"/>
    </row>
    <row r="24" spans="1:14" x14ac:dyDescent="0.25">
      <c r="A24" s="65">
        <v>19</v>
      </c>
      <c r="B24" s="75">
        <f>'Plot By Plot SoA'!B135</f>
        <v>112</v>
      </c>
      <c r="C24" s="67">
        <f>'Plot By Plot SoA'!C135</f>
        <v>100.4</v>
      </c>
      <c r="D24" s="102">
        <f>'Plot By Plot SoA'!D135</f>
        <v>1080.6955600000001</v>
      </c>
      <c r="E24" s="67"/>
      <c r="F24" s="74"/>
      <c r="G24" s="74">
        <f>'Plot By Plot SoA'!H135</f>
        <v>0</v>
      </c>
      <c r="H24" s="70"/>
      <c r="I24" s="71"/>
      <c r="J24" s="76"/>
      <c r="K24" s="69">
        <f>'Plot By Plot SoA'!L135</f>
        <v>0</v>
      </c>
      <c r="L24" s="74"/>
      <c r="M24" s="74"/>
      <c r="N24" s="71"/>
    </row>
    <row r="25" spans="1:14" x14ac:dyDescent="0.25">
      <c r="A25" s="65">
        <v>20</v>
      </c>
      <c r="B25" s="75">
        <f>'Plot By Plot SoA'!B138</f>
        <v>114</v>
      </c>
      <c r="C25" s="67">
        <f>'Plot By Plot SoA'!C138</f>
        <v>100.4</v>
      </c>
      <c r="D25" s="102">
        <f>'Plot By Plot SoA'!D138</f>
        <v>1080.6955600000001</v>
      </c>
      <c r="E25" s="67"/>
      <c r="F25" s="74"/>
      <c r="G25" s="74">
        <f>'Plot By Plot SoA'!H138</f>
        <v>0</v>
      </c>
      <c r="H25" s="70"/>
      <c r="I25" s="71"/>
      <c r="J25" s="76"/>
      <c r="K25" s="69">
        <f>'Plot By Plot SoA'!L138</f>
        <v>0</v>
      </c>
      <c r="L25" s="74"/>
      <c r="M25" s="74"/>
      <c r="N25" s="71"/>
    </row>
    <row r="26" spans="1:14" x14ac:dyDescent="0.25">
      <c r="A26" s="65">
        <v>21</v>
      </c>
      <c r="B26" s="75">
        <f>'Plot By Plot SoA'!B140</f>
        <v>116</v>
      </c>
      <c r="C26" s="67">
        <f>'Plot By Plot SoA'!C140</f>
        <v>87.7</v>
      </c>
      <c r="D26" s="102">
        <f>'Plot By Plot SoA'!D140</f>
        <v>943.99402999999995</v>
      </c>
      <c r="E26" s="67"/>
      <c r="F26" s="74"/>
      <c r="G26" s="74">
        <f>'Plot By Plot SoA'!H140</f>
        <v>0</v>
      </c>
      <c r="H26" s="70"/>
      <c r="I26" s="71"/>
      <c r="J26" s="76"/>
      <c r="K26" s="69" t="str">
        <f>'Plot By Plot SoA'!L140</f>
        <v>Y</v>
      </c>
      <c r="L26" s="74"/>
      <c r="M26" s="74"/>
      <c r="N26" s="71"/>
    </row>
    <row r="27" spans="1:14" x14ac:dyDescent="0.25">
      <c r="A27" s="65">
        <v>22</v>
      </c>
      <c r="B27" s="75">
        <f>'Plot By Plot SoA'!B143</f>
        <v>118</v>
      </c>
      <c r="C27" s="67">
        <f>'Plot By Plot SoA'!C143</f>
        <v>95</v>
      </c>
      <c r="D27" s="102">
        <f>'Plot By Plot SoA'!D143</f>
        <v>1022.5704999999999</v>
      </c>
      <c r="E27" s="67"/>
      <c r="F27" s="74"/>
      <c r="G27" s="74"/>
      <c r="H27" s="70">
        <f>'Plot By Plot SoA'!I143</f>
        <v>0</v>
      </c>
      <c r="I27" s="71"/>
      <c r="J27" s="76">
        <f>'Plot By Plot SoA'!K143</f>
        <v>0</v>
      </c>
      <c r="K27" s="69"/>
      <c r="L27" s="74"/>
      <c r="M27" s="74"/>
      <c r="N27" s="71"/>
    </row>
    <row r="28" spans="1:14" x14ac:dyDescent="0.25">
      <c r="A28" s="65">
        <v>23</v>
      </c>
      <c r="B28" s="75">
        <f>'Plot By Plot SoA'!B144</f>
        <v>119</v>
      </c>
      <c r="C28" s="67">
        <f>'Plot By Plot SoA'!C144</f>
        <v>95</v>
      </c>
      <c r="D28" s="102">
        <f>'Plot By Plot SoA'!D144</f>
        <v>1022.5704999999999</v>
      </c>
      <c r="E28" s="67"/>
      <c r="F28" s="74"/>
      <c r="G28" s="74"/>
      <c r="H28" s="70">
        <f>'Plot By Plot SoA'!I144</f>
        <v>0</v>
      </c>
      <c r="I28" s="71"/>
      <c r="J28" s="76">
        <f>'Plot By Plot SoA'!K144</f>
        <v>0</v>
      </c>
      <c r="K28" s="69"/>
      <c r="L28" s="74"/>
      <c r="M28" s="74"/>
      <c r="N28" s="71"/>
    </row>
    <row r="29" spans="1:14" x14ac:dyDescent="0.25">
      <c r="A29" s="65">
        <v>24</v>
      </c>
      <c r="B29" s="75">
        <f>'Plot By Plot SoA'!B145</f>
        <v>120</v>
      </c>
      <c r="C29" s="67">
        <f>'Plot By Plot SoA'!C145</f>
        <v>83.1</v>
      </c>
      <c r="D29" s="102">
        <f>'Plot By Plot SoA'!D145</f>
        <v>894.4800899999999</v>
      </c>
      <c r="E29" s="67"/>
      <c r="F29" s="74"/>
      <c r="G29" s="74">
        <f>'Plot By Plot SoA'!H145</f>
        <v>0</v>
      </c>
      <c r="H29" s="70"/>
      <c r="I29" s="71"/>
      <c r="J29" s="76"/>
      <c r="K29" s="69">
        <f>'Plot By Plot SoA'!L145</f>
        <v>0</v>
      </c>
      <c r="L29" s="74"/>
      <c r="M29" s="74"/>
      <c r="N29" s="71"/>
    </row>
    <row r="30" spans="1:14" x14ac:dyDescent="0.25">
      <c r="A30" s="65">
        <v>25</v>
      </c>
      <c r="B30" s="75">
        <f>'Plot By Plot SoA'!B148</f>
        <v>122</v>
      </c>
      <c r="C30" s="67">
        <f>'Plot By Plot SoA'!C148</f>
        <v>77.5</v>
      </c>
      <c r="D30" s="102">
        <f>'Plot By Plot SoA'!D148</f>
        <v>834.20224999999994</v>
      </c>
      <c r="E30" s="67"/>
      <c r="F30" s="74"/>
      <c r="G30" s="74">
        <f>'Plot By Plot SoA'!H148</f>
        <v>0</v>
      </c>
      <c r="H30" s="70"/>
      <c r="I30" s="71"/>
      <c r="J30" s="76"/>
      <c r="K30" s="69" t="str">
        <f>'Plot By Plot SoA'!L148</f>
        <v>Y</v>
      </c>
      <c r="L30" s="74"/>
      <c r="M30" s="74"/>
      <c r="N30" s="71"/>
    </row>
    <row r="31" spans="1:14" x14ac:dyDescent="0.25">
      <c r="A31" s="65">
        <v>26</v>
      </c>
      <c r="B31" s="75">
        <f>'Plot By Plot SoA'!B150</f>
        <v>124</v>
      </c>
      <c r="C31" s="67">
        <f>'Plot By Plot SoA'!C150</f>
        <v>99</v>
      </c>
      <c r="D31" s="102">
        <f>'Plot By Plot SoA'!D150</f>
        <v>1065.6261</v>
      </c>
      <c r="E31" s="67"/>
      <c r="F31" s="74"/>
      <c r="G31" s="74">
        <f>'Plot By Plot SoA'!H150</f>
        <v>0</v>
      </c>
      <c r="H31" s="70"/>
      <c r="I31" s="71"/>
      <c r="J31" s="76"/>
      <c r="K31" s="69" t="str">
        <f>'Plot By Plot SoA'!L150</f>
        <v>Y</v>
      </c>
      <c r="L31" s="74"/>
      <c r="M31" s="74"/>
      <c r="N31" s="71"/>
    </row>
    <row r="32" spans="1:14" x14ac:dyDescent="0.25">
      <c r="A32" s="65">
        <v>27</v>
      </c>
      <c r="B32" s="75">
        <f>'Plot By Plot SoA'!B152</f>
        <v>126</v>
      </c>
      <c r="C32" s="67">
        <f>'Plot By Plot SoA'!C152</f>
        <v>75.3</v>
      </c>
      <c r="D32" s="102">
        <f>'Plot By Plot SoA'!D152</f>
        <v>810.52166999999997</v>
      </c>
      <c r="E32" s="67"/>
      <c r="F32" s="74"/>
      <c r="G32" s="74">
        <f>'Plot By Plot SoA'!H152</f>
        <v>0</v>
      </c>
      <c r="H32" s="70"/>
      <c r="I32" s="71"/>
      <c r="J32" s="76"/>
      <c r="K32" s="69" t="str">
        <f>'Plot By Plot SoA'!L152</f>
        <v>Y</v>
      </c>
      <c r="L32" s="74"/>
      <c r="M32" s="74"/>
      <c r="N32" s="71"/>
    </row>
    <row r="33" spans="1:14" x14ac:dyDescent="0.25">
      <c r="A33" s="65">
        <v>28</v>
      </c>
      <c r="B33" s="75">
        <f>'Plot By Plot SoA'!B154</f>
        <v>128</v>
      </c>
      <c r="C33" s="67">
        <f>'Plot By Plot SoA'!C154</f>
        <v>70.599999999999994</v>
      </c>
      <c r="D33" s="102">
        <f>'Plot By Plot SoA'!D154</f>
        <v>759.93133999999986</v>
      </c>
      <c r="E33" s="67"/>
      <c r="F33" s="74"/>
      <c r="G33" s="74">
        <f>'Plot By Plot SoA'!H154</f>
        <v>0</v>
      </c>
      <c r="H33" s="70"/>
      <c r="I33" s="71"/>
      <c r="J33" s="76"/>
      <c r="K33" s="69" t="str">
        <f>'Plot By Plot SoA'!L154</f>
        <v>Y</v>
      </c>
      <c r="L33" s="74"/>
      <c r="M33" s="74"/>
      <c r="N33" s="71"/>
    </row>
    <row r="34" spans="1:14" x14ac:dyDescent="0.25">
      <c r="A34" s="65">
        <v>29</v>
      </c>
      <c r="B34" s="75">
        <f>'Plot By Plot SoA'!B156</f>
        <v>130</v>
      </c>
      <c r="C34" s="67">
        <f>'Plot By Plot SoA'!C156</f>
        <v>108.2</v>
      </c>
      <c r="D34" s="102">
        <f>'Plot By Plot SoA'!D156</f>
        <v>1164.65398</v>
      </c>
      <c r="E34" s="67"/>
      <c r="F34" s="74"/>
      <c r="G34" s="74">
        <f>'Plot By Plot SoA'!H156</f>
        <v>0</v>
      </c>
      <c r="H34" s="70"/>
      <c r="I34" s="71"/>
      <c r="J34" s="76"/>
      <c r="K34" s="69">
        <f>'Plot By Plot SoA'!L156</f>
        <v>0</v>
      </c>
      <c r="L34" s="74"/>
      <c r="M34" s="74"/>
      <c r="N34" s="71"/>
    </row>
    <row r="35" spans="1:14" x14ac:dyDescent="0.25">
      <c r="A35" s="65">
        <v>30</v>
      </c>
      <c r="B35" s="75">
        <f>'Plot By Plot SoA'!B160</f>
        <v>132</v>
      </c>
      <c r="C35" s="67">
        <f>'Plot By Plot SoA'!C160</f>
        <v>72.599999999999994</v>
      </c>
      <c r="D35" s="102">
        <f>'Plot By Plot SoA'!D160</f>
        <v>781.45913999999993</v>
      </c>
      <c r="E35" s="67"/>
      <c r="F35" s="74"/>
      <c r="G35" s="74">
        <f>'Plot By Plot SoA'!H160</f>
        <v>0</v>
      </c>
      <c r="H35" s="70"/>
      <c r="I35" s="71"/>
      <c r="J35" s="76"/>
      <c r="K35" s="69" t="str">
        <f>'Plot By Plot SoA'!L160</f>
        <v>Y</v>
      </c>
      <c r="L35" s="74"/>
      <c r="M35" s="74"/>
      <c r="N35" s="71"/>
    </row>
    <row r="36" spans="1:14" x14ac:dyDescent="0.25">
      <c r="A36" s="65">
        <v>31</v>
      </c>
      <c r="B36" s="75">
        <f>'Plot By Plot SoA'!B163</f>
        <v>134</v>
      </c>
      <c r="C36" s="67">
        <f>'Plot By Plot SoA'!C163</f>
        <v>97.1</v>
      </c>
      <c r="D36" s="102">
        <f>'Plot By Plot SoA'!D163</f>
        <v>1045.1746899999998</v>
      </c>
      <c r="E36" s="67"/>
      <c r="F36" s="74"/>
      <c r="G36" s="74">
        <f>'Plot By Plot SoA'!H163</f>
        <v>0</v>
      </c>
      <c r="H36" s="70"/>
      <c r="I36" s="71"/>
      <c r="J36" s="76"/>
      <c r="K36" s="69">
        <f>'Plot By Plot SoA'!L163</f>
        <v>0</v>
      </c>
      <c r="L36" s="74"/>
      <c r="M36" s="74"/>
      <c r="N36" s="71"/>
    </row>
    <row r="37" spans="1:14" x14ac:dyDescent="0.25">
      <c r="A37" s="65">
        <v>32</v>
      </c>
      <c r="B37" s="75">
        <f>'Plot By Plot SoA'!B166</f>
        <v>136</v>
      </c>
      <c r="C37" s="67">
        <f>'Plot By Plot SoA'!C166</f>
        <v>88.5</v>
      </c>
      <c r="D37" s="102">
        <f>'Plot By Plot SoA'!D166</f>
        <v>952.60514999999998</v>
      </c>
      <c r="E37" s="67"/>
      <c r="F37" s="74"/>
      <c r="G37" s="74">
        <f>'Plot By Plot SoA'!H166</f>
        <v>0</v>
      </c>
      <c r="H37" s="70"/>
      <c r="I37" s="71"/>
      <c r="J37" s="76"/>
      <c r="K37" s="69">
        <f>'Plot By Plot SoA'!L166</f>
        <v>0</v>
      </c>
      <c r="L37" s="74"/>
      <c r="M37" s="74"/>
      <c r="N37" s="71"/>
    </row>
    <row r="38" spans="1:14" x14ac:dyDescent="0.25">
      <c r="A38" s="65">
        <v>33</v>
      </c>
      <c r="B38" s="75">
        <f>'Plot By Plot SoA'!B168</f>
        <v>138</v>
      </c>
      <c r="C38" s="67">
        <f>'Plot By Plot SoA'!C168</f>
        <v>90.7</v>
      </c>
      <c r="D38" s="102">
        <f>'Plot By Plot SoA'!D168</f>
        <v>976.28572999999994</v>
      </c>
      <c r="E38" s="67"/>
      <c r="F38" s="74"/>
      <c r="G38" s="74">
        <f>'Plot By Plot SoA'!H168</f>
        <v>0</v>
      </c>
      <c r="H38" s="70"/>
      <c r="I38" s="71"/>
      <c r="J38" s="76"/>
      <c r="K38" s="69" t="str">
        <f>'Plot By Plot SoA'!L168</f>
        <v>Y</v>
      </c>
      <c r="L38" s="74"/>
      <c r="M38" s="74"/>
      <c r="N38" s="71"/>
    </row>
    <row r="39" spans="1:14" x14ac:dyDescent="0.25">
      <c r="A39" s="65">
        <v>34</v>
      </c>
      <c r="B39" s="75">
        <f>'Plot By Plot SoA'!B170</f>
        <v>140</v>
      </c>
      <c r="C39" s="67">
        <f>'Plot By Plot SoA'!C170</f>
        <v>87.6</v>
      </c>
      <c r="D39" s="102">
        <f>'Plot By Plot SoA'!D170</f>
        <v>942.91763999999989</v>
      </c>
      <c r="E39" s="67"/>
      <c r="F39" s="74">
        <f>'Plot By Plot SoA'!G170</f>
        <v>0</v>
      </c>
      <c r="G39" s="74"/>
      <c r="H39" s="70"/>
      <c r="I39" s="71"/>
      <c r="J39" s="76"/>
      <c r="K39" s="69" t="str">
        <f>'Plot By Plot SoA'!L170</f>
        <v>Y</v>
      </c>
      <c r="L39" s="74"/>
      <c r="M39" s="74"/>
      <c r="N39" s="71"/>
    </row>
    <row r="40" spans="1:14" ht="15.75" thickBot="1" x14ac:dyDescent="0.3">
      <c r="A40" s="78">
        <v>35</v>
      </c>
      <c r="B40" s="79">
        <f>'Plot By Plot SoA'!B171</f>
        <v>141</v>
      </c>
      <c r="C40" s="80">
        <f>'Plot By Plot SoA'!C171</f>
        <v>97.3</v>
      </c>
      <c r="D40" s="104">
        <f>'Plot By Plot SoA'!D171</f>
        <v>1047.3274699999999</v>
      </c>
      <c r="E40" s="80"/>
      <c r="F40" s="86">
        <f>'Plot By Plot SoA'!G171</f>
        <v>0</v>
      </c>
      <c r="G40" s="86"/>
      <c r="H40" s="83"/>
      <c r="I40" s="71"/>
      <c r="J40" s="85"/>
      <c r="K40" s="103">
        <f>'Plot By Plot SoA'!L171</f>
        <v>0</v>
      </c>
      <c r="L40" s="86"/>
      <c r="M40" s="86"/>
      <c r="N40" s="71"/>
    </row>
    <row r="41" spans="1:14" ht="45.75" thickBot="1" x14ac:dyDescent="0.3">
      <c r="A41" s="1963"/>
      <c r="B41" s="46" t="s">
        <v>5</v>
      </c>
      <c r="C41" s="43"/>
      <c r="D41" s="44"/>
      <c r="E41" s="10">
        <f>COUNTA(E6:E40)</f>
        <v>0</v>
      </c>
      <c r="F41" s="10">
        <f>COUNTA(F6:F40)</f>
        <v>2</v>
      </c>
      <c r="G41" s="10">
        <f>COUNTA(G6:G40)</f>
        <v>21</v>
      </c>
      <c r="H41" s="10">
        <f>COUNTA(H6:H40)</f>
        <v>12</v>
      </c>
      <c r="I41" s="98"/>
      <c r="J41" s="97">
        <f>COUNTA(J6:J40)</f>
        <v>12</v>
      </c>
      <c r="K41" s="14">
        <f>COUNTA(K6:K40)</f>
        <v>23</v>
      </c>
      <c r="L41" s="14">
        <f>COUNTA(L6:L40)</f>
        <v>0</v>
      </c>
      <c r="M41" s="14">
        <f>COUNTA(M6:M40)</f>
        <v>0</v>
      </c>
      <c r="N41" s="99">
        <f>COUNTA(N6:N40)</f>
        <v>0</v>
      </c>
    </row>
    <row r="42" spans="1:14" ht="30.75" thickBot="1" x14ac:dyDescent="0.3">
      <c r="A42" s="1964"/>
      <c r="B42" s="47" t="s">
        <v>6</v>
      </c>
      <c r="C42" s="1954">
        <f>SUM(C18:C40)</f>
        <v>2068.7999999999997</v>
      </c>
      <c r="D42" s="1955"/>
      <c r="E42" s="1955"/>
      <c r="F42" s="1955"/>
      <c r="G42" s="1955"/>
      <c r="H42" s="1955"/>
      <c r="I42" s="1956"/>
      <c r="J42" s="49">
        <f>SUM(1/J43*J41)</f>
        <v>0.34285714285714286</v>
      </c>
      <c r="K42" s="50">
        <f>SUM(1/J43*K41)</f>
        <v>0.65714285714285714</v>
      </c>
      <c r="L42" s="50">
        <f>SUM(1/J43*L41)</f>
        <v>0</v>
      </c>
      <c r="M42" s="50">
        <f>SUM(1/J43*M41)</f>
        <v>0</v>
      </c>
      <c r="N42" s="51">
        <f>SUM(1/J43*N41)</f>
        <v>0</v>
      </c>
    </row>
    <row r="43" spans="1:14" ht="45.75" thickBot="1" x14ac:dyDescent="0.3">
      <c r="A43" s="1965"/>
      <c r="B43" s="48" t="s">
        <v>7</v>
      </c>
      <c r="C43" s="1509">
        <f>SUM(C42*10.7639)</f>
        <v>22268.356319999995</v>
      </c>
      <c r="D43" s="1510"/>
      <c r="E43" s="1510"/>
      <c r="F43" s="1510"/>
      <c r="G43" s="1510"/>
      <c r="H43" s="1510"/>
      <c r="I43" s="1511"/>
      <c r="J43" s="1957">
        <f>SUM(J41:N41)</f>
        <v>35</v>
      </c>
      <c r="K43" s="1958"/>
      <c r="L43" s="1958"/>
      <c r="M43" s="1958"/>
      <c r="N43" s="1959"/>
    </row>
  </sheetData>
  <mergeCells count="17">
    <mergeCell ref="A1:A2"/>
    <mergeCell ref="B1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N4"/>
    <mergeCell ref="A41:A43"/>
    <mergeCell ref="C42:I42"/>
    <mergeCell ref="C43:I43"/>
    <mergeCell ref="J43:N43"/>
    <mergeCell ref="P5:T5"/>
  </mergeCells>
  <pageMargins left="0.7" right="0.7" top="0.75" bottom="0.75" header="0.3" footer="0.3"/>
  <pageSetup paperSize="8" scale="69" fitToHeight="0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EDD0-9717-44D6-9149-091904CE8802}">
  <sheetPr>
    <pageSetUpPr fitToPage="1"/>
  </sheetPr>
  <dimension ref="A1:T92"/>
  <sheetViews>
    <sheetView topLeftCell="A63" workbookViewId="0">
      <selection activeCell="I25" sqref="I25"/>
    </sheetView>
  </sheetViews>
  <sheetFormatPr defaultRowHeight="15" x14ac:dyDescent="0.25"/>
  <cols>
    <col min="1" max="1" width="12.42578125" bestFit="1" customWidth="1"/>
    <col min="6" max="6" width="12.140625" customWidth="1"/>
    <col min="17" max="17" width="10.5703125" customWidth="1"/>
  </cols>
  <sheetData>
    <row r="1" spans="1:20" x14ac:dyDescent="0.25">
      <c r="A1" s="1730"/>
      <c r="B1" s="1966" t="s">
        <v>37</v>
      </c>
      <c r="C1" s="1302"/>
      <c r="D1" s="1302"/>
      <c r="E1" s="1302"/>
      <c r="F1" s="1302"/>
      <c r="G1" s="1302"/>
      <c r="H1" s="1302"/>
      <c r="I1" s="1302"/>
      <c r="J1" s="1302"/>
      <c r="K1" s="1302"/>
      <c r="L1" s="1302"/>
      <c r="M1" s="1302"/>
      <c r="N1" s="1303"/>
    </row>
    <row r="2" spans="1:20" ht="15.75" thickBot="1" x14ac:dyDescent="0.3">
      <c r="A2" s="1731"/>
      <c r="B2" s="1967"/>
      <c r="C2" s="1305"/>
      <c r="D2" s="1305"/>
      <c r="E2" s="1305"/>
      <c r="F2" s="1305"/>
      <c r="G2" s="1305"/>
      <c r="H2" s="1305"/>
      <c r="I2" s="1305"/>
      <c r="J2" s="1305"/>
      <c r="K2" s="1305"/>
      <c r="L2" s="1305"/>
      <c r="M2" s="1305"/>
      <c r="N2" s="1306"/>
    </row>
    <row r="3" spans="1:20" x14ac:dyDescent="0.25">
      <c r="A3" s="1731"/>
      <c r="B3" s="1968" t="s">
        <v>0</v>
      </c>
      <c r="C3" s="1407" t="s">
        <v>4</v>
      </c>
      <c r="D3" s="1974" t="s">
        <v>18</v>
      </c>
      <c r="E3" s="1415" t="s">
        <v>15</v>
      </c>
      <c r="F3" s="1415" t="s">
        <v>3</v>
      </c>
      <c r="G3" s="1415" t="s">
        <v>16</v>
      </c>
      <c r="H3" s="1417" t="s">
        <v>17</v>
      </c>
      <c r="I3" s="1970" t="s">
        <v>1</v>
      </c>
      <c r="J3" s="1972" t="s">
        <v>2</v>
      </c>
      <c r="K3" s="1409"/>
      <c r="L3" s="1409"/>
      <c r="M3" s="1409"/>
      <c r="N3" s="1410"/>
    </row>
    <row r="4" spans="1:20" ht="15.75" thickBot="1" x14ac:dyDescent="0.3">
      <c r="A4" s="1732"/>
      <c r="B4" s="1969"/>
      <c r="C4" s="1408"/>
      <c r="D4" s="1975"/>
      <c r="E4" s="1416"/>
      <c r="F4" s="1416"/>
      <c r="G4" s="1416"/>
      <c r="H4" s="1418"/>
      <c r="I4" s="1971"/>
      <c r="J4" s="1973"/>
      <c r="K4" s="1411"/>
      <c r="L4" s="1411"/>
      <c r="M4" s="1411"/>
      <c r="N4" s="1412"/>
    </row>
    <row r="5" spans="1:20" ht="15.75" thickTop="1" x14ac:dyDescent="0.25">
      <c r="A5" s="53" t="s">
        <v>46</v>
      </c>
      <c r="B5" s="52"/>
      <c r="C5" s="61"/>
      <c r="D5" s="63"/>
      <c r="E5" s="62"/>
      <c r="F5" s="60"/>
      <c r="G5" s="60"/>
      <c r="H5" s="59"/>
      <c r="I5" s="54"/>
      <c r="J5" s="55">
        <v>1</v>
      </c>
      <c r="K5" s="56">
        <v>2</v>
      </c>
      <c r="L5" s="56">
        <v>3</v>
      </c>
      <c r="M5" s="58">
        <v>4</v>
      </c>
      <c r="N5" s="57">
        <v>5</v>
      </c>
      <c r="P5" s="1960" t="s">
        <v>59</v>
      </c>
      <c r="Q5" s="1961"/>
      <c r="R5" s="1961"/>
      <c r="S5" s="1961"/>
      <c r="T5" s="1962"/>
    </row>
    <row r="6" spans="1:20" s="25" customFormat="1" x14ac:dyDescent="0.35">
      <c r="A6" s="87">
        <v>1</v>
      </c>
      <c r="B6" s="101">
        <f>'Plot By Plot SoA'!B98</f>
        <v>85</v>
      </c>
      <c r="C6" s="100">
        <f>'Plot By Plot SoA'!C98</f>
        <v>78</v>
      </c>
      <c r="D6" s="91">
        <f>'Plot By Plot SoA'!D98</f>
        <v>839.58420000000001</v>
      </c>
      <c r="E6" s="100"/>
      <c r="F6" s="88"/>
      <c r="G6" s="103"/>
      <c r="H6" s="88">
        <f>'Plot By Plot SoA'!I98</f>
        <v>0</v>
      </c>
      <c r="I6" s="90"/>
      <c r="J6" s="72">
        <f>'Plot By Plot SoA'!K98</f>
        <v>0</v>
      </c>
      <c r="K6" s="73"/>
      <c r="L6" s="103"/>
      <c r="M6" s="135"/>
      <c r="N6" s="136"/>
      <c r="P6" s="164"/>
      <c r="Q6" s="159" t="s">
        <v>54</v>
      </c>
      <c r="R6" s="159" t="s">
        <v>55</v>
      </c>
      <c r="S6" s="160" t="s">
        <v>56</v>
      </c>
      <c r="T6" s="163" t="s">
        <v>52</v>
      </c>
    </row>
    <row r="7" spans="1:20" s="25" customFormat="1" x14ac:dyDescent="0.35">
      <c r="A7" s="65">
        <v>2</v>
      </c>
      <c r="B7" s="70">
        <f>'Plot By Plot SoA'!B99</f>
        <v>86</v>
      </c>
      <c r="C7" s="67">
        <f>'Plot By Plot SoA'!C99</f>
        <v>78</v>
      </c>
      <c r="D7" s="102">
        <f>'Plot By Plot SoA'!D99</f>
        <v>839.58420000000001</v>
      </c>
      <c r="E7" s="67"/>
      <c r="F7" s="74"/>
      <c r="G7" s="74"/>
      <c r="H7" s="74">
        <f>'Plot By Plot SoA'!I99</f>
        <v>0</v>
      </c>
      <c r="I7" s="71"/>
      <c r="J7" s="76">
        <f>'Plot By Plot SoA'!K99</f>
        <v>0</v>
      </c>
      <c r="K7" s="74"/>
      <c r="L7" s="69"/>
      <c r="M7" s="69"/>
      <c r="N7" s="71"/>
      <c r="P7" s="155" t="s">
        <v>28</v>
      </c>
      <c r="Q7" s="103">
        <v>0</v>
      </c>
      <c r="R7" s="103">
        <v>0</v>
      </c>
      <c r="S7" s="70">
        <v>12</v>
      </c>
      <c r="T7" s="71">
        <f>SUM(Q7:S7)</f>
        <v>12</v>
      </c>
    </row>
    <row r="8" spans="1:20" s="25" customFormat="1" x14ac:dyDescent="0.35">
      <c r="A8" s="65">
        <v>3</v>
      </c>
      <c r="B8" s="70">
        <f>'Plot By Plot SoA'!B100</f>
        <v>87</v>
      </c>
      <c r="C8" s="67">
        <f>'Plot By Plot SoA'!C100</f>
        <v>99.1</v>
      </c>
      <c r="D8" s="102">
        <f>'Plot By Plot SoA'!D100</f>
        <v>1066.7024899999999</v>
      </c>
      <c r="E8" s="67"/>
      <c r="F8" s="74"/>
      <c r="G8" s="74"/>
      <c r="H8" s="74">
        <f>'Plot By Plot SoA'!I100</f>
        <v>0</v>
      </c>
      <c r="I8" s="71"/>
      <c r="J8" s="76">
        <f>'Plot By Plot SoA'!K100</f>
        <v>0</v>
      </c>
      <c r="K8" s="74"/>
      <c r="L8" s="69"/>
      <c r="M8" s="69"/>
      <c r="N8" s="71"/>
      <c r="P8" s="155" t="s">
        <v>29</v>
      </c>
      <c r="Q8" s="103">
        <v>0</v>
      </c>
      <c r="R8" s="103">
        <v>21</v>
      </c>
      <c r="S8" s="70">
        <v>0</v>
      </c>
      <c r="T8" s="71">
        <f>SUM(Q8:S8)</f>
        <v>21</v>
      </c>
    </row>
    <row r="9" spans="1:20" s="25" customFormat="1" ht="15.75" thickBot="1" x14ac:dyDescent="0.4">
      <c r="A9" s="65">
        <v>4</v>
      </c>
      <c r="B9" s="70">
        <f>'Plot By Plot SoA'!B102</f>
        <v>88</v>
      </c>
      <c r="C9" s="67">
        <f>'Plot By Plot SoA'!C102</f>
        <v>131.4</v>
      </c>
      <c r="D9" s="102">
        <f>'Plot By Plot SoA'!D102</f>
        <v>1414.37646</v>
      </c>
      <c r="E9" s="67"/>
      <c r="F9" s="74"/>
      <c r="G9" s="74"/>
      <c r="H9" s="74">
        <f>'Plot By Plot SoA'!I102</f>
        <v>0</v>
      </c>
      <c r="I9" s="71"/>
      <c r="J9" s="76">
        <f>'Plot By Plot SoA'!K102</f>
        <v>0</v>
      </c>
      <c r="K9" s="74"/>
      <c r="L9" s="69"/>
      <c r="M9" s="69"/>
      <c r="N9" s="71"/>
      <c r="P9" s="165" t="s">
        <v>30</v>
      </c>
      <c r="Q9" s="161">
        <v>0</v>
      </c>
      <c r="R9" s="161">
        <v>0</v>
      </c>
      <c r="S9" s="162">
        <v>0</v>
      </c>
      <c r="T9" s="71">
        <f>SUM(Q9:S9)</f>
        <v>0</v>
      </c>
    </row>
    <row r="10" spans="1:20" s="25" customFormat="1" ht="15.75" thickBot="1" x14ac:dyDescent="0.4">
      <c r="A10" s="65">
        <v>5</v>
      </c>
      <c r="B10" s="70">
        <f>'Plot By Plot SoA'!B104</f>
        <v>89</v>
      </c>
      <c r="C10" s="67">
        <f>'Plot By Plot SoA'!C104</f>
        <v>131.4</v>
      </c>
      <c r="D10" s="102">
        <f>'Plot By Plot SoA'!D104</f>
        <v>1414.37646</v>
      </c>
      <c r="E10" s="67"/>
      <c r="F10" s="74"/>
      <c r="G10" s="74"/>
      <c r="H10" s="74">
        <f>'Plot By Plot SoA'!I104</f>
        <v>0</v>
      </c>
      <c r="I10" s="71"/>
      <c r="J10" s="76">
        <f>'Plot By Plot SoA'!K104</f>
        <v>0</v>
      </c>
      <c r="K10" s="74"/>
      <c r="L10" s="69"/>
      <c r="M10" s="69"/>
      <c r="N10" s="71"/>
      <c r="P10" s="156" t="s">
        <v>52</v>
      </c>
      <c r="Q10" s="154">
        <f>SUM(Q7:Q9)</f>
        <v>0</v>
      </c>
      <c r="R10" s="154">
        <f>SUM(R7:R9)</f>
        <v>21</v>
      </c>
      <c r="S10" s="154">
        <f>SUM(S7:S9)</f>
        <v>12</v>
      </c>
      <c r="T10" s="153">
        <f>SUM(Q10:S10)</f>
        <v>33</v>
      </c>
    </row>
    <row r="11" spans="1:20" s="25" customFormat="1" x14ac:dyDescent="0.35">
      <c r="A11" s="65">
        <v>6</v>
      </c>
      <c r="B11" s="70">
        <f>'Plot By Plot SoA'!B105</f>
        <v>90</v>
      </c>
      <c r="C11" s="67">
        <f>'Plot By Plot SoA'!C105</f>
        <v>77.099999999999994</v>
      </c>
      <c r="D11" s="102">
        <f>'Plot By Plot SoA'!D105</f>
        <v>829.89668999999992</v>
      </c>
      <c r="E11" s="67"/>
      <c r="F11" s="74"/>
      <c r="G11" s="74"/>
      <c r="H11" s="74">
        <f>'Plot By Plot SoA'!I105</f>
        <v>0</v>
      </c>
      <c r="I11" s="71"/>
      <c r="J11" s="76">
        <f>'Plot By Plot SoA'!K105</f>
        <v>0</v>
      </c>
      <c r="K11" s="74"/>
      <c r="L11" s="69"/>
      <c r="M11" s="69"/>
      <c r="N11" s="71"/>
    </row>
    <row r="12" spans="1:20" s="25" customFormat="1" x14ac:dyDescent="0.35">
      <c r="A12" s="65">
        <v>7</v>
      </c>
      <c r="B12" s="70">
        <f>'Plot By Plot SoA'!B106</f>
        <v>91</v>
      </c>
      <c r="C12" s="67">
        <f>'Plot By Plot SoA'!C106</f>
        <v>70</v>
      </c>
      <c r="D12" s="102">
        <f>'Plot By Plot SoA'!D106</f>
        <v>753.47299999999996</v>
      </c>
      <c r="E12" s="67"/>
      <c r="F12" s="74"/>
      <c r="G12" s="74"/>
      <c r="H12" s="74">
        <f>'Plot By Plot SoA'!I106</f>
        <v>0</v>
      </c>
      <c r="I12" s="71"/>
      <c r="J12" s="76">
        <f>'Plot By Plot SoA'!K106</f>
        <v>0</v>
      </c>
      <c r="K12" s="74"/>
      <c r="L12" s="69"/>
      <c r="M12" s="69"/>
      <c r="N12" s="71"/>
    </row>
    <row r="13" spans="1:20" s="25" customFormat="1" x14ac:dyDescent="0.35">
      <c r="A13" s="65">
        <v>8</v>
      </c>
      <c r="B13" s="70">
        <f>'Plot By Plot SoA'!B107</f>
        <v>92</v>
      </c>
      <c r="C13" s="67">
        <f>'Plot By Plot SoA'!C107</f>
        <v>70</v>
      </c>
      <c r="D13" s="102">
        <f>'Plot By Plot SoA'!D107</f>
        <v>753.47299999999996</v>
      </c>
      <c r="E13" s="67"/>
      <c r="F13" s="74"/>
      <c r="G13" s="74"/>
      <c r="H13" s="74">
        <f>'Plot By Plot SoA'!I107</f>
        <v>0</v>
      </c>
      <c r="I13" s="71"/>
      <c r="J13" s="76">
        <f>'Plot By Plot SoA'!K107</f>
        <v>0</v>
      </c>
      <c r="K13" s="74"/>
      <c r="L13" s="69"/>
      <c r="M13" s="69"/>
      <c r="N13" s="71"/>
    </row>
    <row r="14" spans="1:20" s="25" customFormat="1" x14ac:dyDescent="0.35">
      <c r="A14" s="65">
        <v>9</v>
      </c>
      <c r="B14" s="70">
        <f>'Plot By Plot SoA'!B108</f>
        <v>93</v>
      </c>
      <c r="C14" s="67">
        <f>'Plot By Plot SoA'!C108</f>
        <v>76.599999999999994</v>
      </c>
      <c r="D14" s="102">
        <f>'Plot By Plot SoA'!D108</f>
        <v>824.51473999999996</v>
      </c>
      <c r="E14" s="67"/>
      <c r="F14" s="74"/>
      <c r="G14" s="74"/>
      <c r="H14" s="74">
        <f>'Plot By Plot SoA'!I108</f>
        <v>0</v>
      </c>
      <c r="I14" s="71"/>
      <c r="J14" s="76">
        <f>'Plot By Plot SoA'!K108</f>
        <v>0</v>
      </c>
      <c r="K14" s="74"/>
      <c r="L14" s="69"/>
      <c r="M14" s="69"/>
      <c r="N14" s="71"/>
    </row>
    <row r="15" spans="1:20" s="25" customFormat="1" x14ac:dyDescent="0.35">
      <c r="A15" s="65">
        <v>10</v>
      </c>
      <c r="B15" s="70">
        <f>'Plot By Plot SoA'!B111</f>
        <v>95</v>
      </c>
      <c r="C15" s="67">
        <f>'Plot By Plot SoA'!C111</f>
        <v>80.3</v>
      </c>
      <c r="D15" s="102">
        <f>'Plot By Plot SoA'!D111</f>
        <v>864.34116999999992</v>
      </c>
      <c r="E15" s="67"/>
      <c r="F15" s="74"/>
      <c r="G15" s="74"/>
      <c r="H15" s="74">
        <f>'Plot By Plot SoA'!I111</f>
        <v>0</v>
      </c>
      <c r="I15" s="71"/>
      <c r="J15" s="76">
        <f>'Plot By Plot SoA'!K111</f>
        <v>0</v>
      </c>
      <c r="K15" s="74"/>
      <c r="L15" s="69"/>
      <c r="M15" s="69"/>
      <c r="N15" s="71"/>
    </row>
    <row r="16" spans="1:20" s="25" customFormat="1" x14ac:dyDescent="0.35">
      <c r="A16" s="65">
        <v>11</v>
      </c>
      <c r="B16" s="70">
        <f>'Plot By Plot SoA'!B112</f>
        <v>96</v>
      </c>
      <c r="C16" s="67">
        <f>'Plot By Plot SoA'!C112</f>
        <v>81</v>
      </c>
      <c r="D16" s="102">
        <f>'Plot By Plot SoA'!D112</f>
        <v>871.8759</v>
      </c>
      <c r="E16" s="67"/>
      <c r="F16" s="74"/>
      <c r="G16" s="74">
        <f>'Plot By Plot SoA'!H112</f>
        <v>0</v>
      </c>
      <c r="H16" s="74"/>
      <c r="I16" s="71"/>
      <c r="J16" s="76"/>
      <c r="K16" s="74">
        <f>'Plot By Plot SoA'!L112</f>
        <v>0</v>
      </c>
      <c r="L16" s="69"/>
      <c r="M16" s="69"/>
      <c r="N16" s="71"/>
    </row>
    <row r="17" spans="1:14" s="25" customFormat="1" x14ac:dyDescent="0.35">
      <c r="A17" s="65">
        <v>12</v>
      </c>
      <c r="B17" s="70">
        <f>'Plot By Plot SoA'!B117</f>
        <v>98</v>
      </c>
      <c r="C17" s="67">
        <f>'Plot By Plot SoA'!C117</f>
        <v>179.6</v>
      </c>
      <c r="D17" s="102">
        <f>'Plot By Plot SoA'!D117</f>
        <v>1933.1964399999999</v>
      </c>
      <c r="E17" s="67"/>
      <c r="F17" s="74"/>
      <c r="G17" s="74">
        <f>'Plot By Plot SoA'!H117</f>
        <v>0</v>
      </c>
      <c r="H17" s="74"/>
      <c r="I17" s="71"/>
      <c r="J17" s="76"/>
      <c r="K17" s="74">
        <f>'Plot By Plot SoA'!L117</f>
        <v>0</v>
      </c>
      <c r="L17" s="69"/>
      <c r="M17" s="69"/>
      <c r="N17" s="71"/>
    </row>
    <row r="18" spans="1:14" s="25" customFormat="1" x14ac:dyDescent="0.35">
      <c r="A18" s="65">
        <v>13</v>
      </c>
      <c r="B18" s="70">
        <f>'Plot By Plot SoA'!B121</f>
        <v>100</v>
      </c>
      <c r="C18" s="67">
        <f>'Plot By Plot SoA'!C121</f>
        <v>95</v>
      </c>
      <c r="D18" s="102">
        <f>'Plot By Plot SoA'!D121</f>
        <v>1022.5704999999999</v>
      </c>
      <c r="E18" s="67"/>
      <c r="F18" s="74"/>
      <c r="G18" s="74">
        <f>'Plot By Plot SoA'!H121</f>
        <v>0</v>
      </c>
      <c r="H18" s="74"/>
      <c r="I18" s="71"/>
      <c r="J18" s="76"/>
      <c r="K18" s="74" t="str">
        <f>'Plot By Plot SoA'!L121</f>
        <v>Y</v>
      </c>
      <c r="L18" s="69"/>
      <c r="M18" s="69"/>
      <c r="N18" s="71"/>
    </row>
    <row r="19" spans="1:14" s="25" customFormat="1" x14ac:dyDescent="0.35">
      <c r="A19" s="65">
        <v>14</v>
      </c>
      <c r="B19" s="70">
        <f>'Plot By Plot SoA'!B123</f>
        <v>102</v>
      </c>
      <c r="C19" s="67">
        <f>'Plot By Plot SoA'!C123</f>
        <v>83.1</v>
      </c>
      <c r="D19" s="102">
        <f>'Plot By Plot SoA'!D123</f>
        <v>894.4800899999999</v>
      </c>
      <c r="E19" s="67"/>
      <c r="F19" s="74"/>
      <c r="G19" s="74">
        <f>'Plot By Plot SoA'!H123</f>
        <v>0</v>
      </c>
      <c r="H19" s="74"/>
      <c r="I19" s="71"/>
      <c r="J19" s="76"/>
      <c r="K19" s="74">
        <f>'Plot By Plot SoA'!L123</f>
        <v>0</v>
      </c>
      <c r="L19" s="69"/>
      <c r="M19" s="69"/>
      <c r="N19" s="71"/>
    </row>
    <row r="20" spans="1:14" s="25" customFormat="1" x14ac:dyDescent="0.35">
      <c r="A20" s="65">
        <v>15</v>
      </c>
      <c r="B20" s="70">
        <f>'Plot By Plot SoA'!B126</f>
        <v>104</v>
      </c>
      <c r="C20" s="67">
        <f>'Plot By Plot SoA'!C126</f>
        <v>94.4</v>
      </c>
      <c r="D20" s="102">
        <f>'Plot By Plot SoA'!D126</f>
        <v>1016.11216</v>
      </c>
      <c r="E20" s="67"/>
      <c r="F20" s="74"/>
      <c r="G20" s="74">
        <f>'Plot By Plot SoA'!H126</f>
        <v>0</v>
      </c>
      <c r="H20" s="74"/>
      <c r="I20" s="71"/>
      <c r="J20" s="76"/>
      <c r="K20" s="74" t="str">
        <f>'Plot By Plot SoA'!L126</f>
        <v>Y</v>
      </c>
      <c r="L20" s="69"/>
      <c r="M20" s="69"/>
      <c r="N20" s="71"/>
    </row>
    <row r="21" spans="1:14" s="25" customFormat="1" x14ac:dyDescent="0.35">
      <c r="A21" s="65">
        <v>16</v>
      </c>
      <c r="B21" s="70">
        <f>'Plot By Plot SoA'!B129</f>
        <v>106</v>
      </c>
      <c r="C21" s="67">
        <f>'Plot By Plot SoA'!C129</f>
        <v>89.4</v>
      </c>
      <c r="D21" s="102">
        <f>'Plot By Plot SoA'!D129</f>
        <v>962.29266000000007</v>
      </c>
      <c r="E21" s="67"/>
      <c r="F21" s="74"/>
      <c r="G21" s="74">
        <f>'Plot By Plot SoA'!H129</f>
        <v>0</v>
      </c>
      <c r="H21" s="74"/>
      <c r="I21" s="71"/>
      <c r="J21" s="76"/>
      <c r="K21" s="74">
        <f>'Plot By Plot SoA'!L129</f>
        <v>0</v>
      </c>
      <c r="L21" s="69"/>
      <c r="M21" s="69"/>
      <c r="N21" s="71"/>
    </row>
    <row r="22" spans="1:14" s="25" customFormat="1" x14ac:dyDescent="0.35">
      <c r="A22" s="65">
        <v>17</v>
      </c>
      <c r="B22" s="70">
        <f>'Plot By Plot SoA'!B131</f>
        <v>108</v>
      </c>
      <c r="C22" s="67">
        <f>'Plot By Plot SoA'!C131</f>
        <v>108</v>
      </c>
      <c r="D22" s="102">
        <f>'Plot By Plot SoA'!D131</f>
        <v>1162.5011999999999</v>
      </c>
      <c r="E22" s="67"/>
      <c r="F22" s="74"/>
      <c r="G22" s="74">
        <f>'Plot By Plot SoA'!H131</f>
        <v>0</v>
      </c>
      <c r="H22" s="74"/>
      <c r="I22" s="71"/>
      <c r="J22" s="76"/>
      <c r="K22" s="74">
        <f>'Plot By Plot SoA'!L131</f>
        <v>0</v>
      </c>
      <c r="L22" s="69"/>
      <c r="M22" s="69"/>
      <c r="N22" s="71"/>
    </row>
    <row r="23" spans="1:14" s="25" customFormat="1" x14ac:dyDescent="0.35">
      <c r="A23" s="65">
        <v>18</v>
      </c>
      <c r="B23" s="70">
        <f>'Plot By Plot SoA'!B133</f>
        <v>110</v>
      </c>
      <c r="C23" s="67">
        <f>'Plot By Plot SoA'!C133</f>
        <v>72.900000000000006</v>
      </c>
      <c r="D23" s="102">
        <f>'Plot By Plot SoA'!D133</f>
        <v>784.68831</v>
      </c>
      <c r="E23" s="67"/>
      <c r="F23" s="74"/>
      <c r="G23" s="74">
        <f>'Plot By Plot SoA'!H133</f>
        <v>0</v>
      </c>
      <c r="H23" s="74"/>
      <c r="I23" s="71"/>
      <c r="J23" s="76"/>
      <c r="K23" s="74" t="str">
        <f>'Plot By Plot SoA'!L133</f>
        <v>Y</v>
      </c>
      <c r="L23" s="69"/>
      <c r="M23" s="69"/>
      <c r="N23" s="71"/>
    </row>
    <row r="24" spans="1:14" s="25" customFormat="1" x14ac:dyDescent="0.35">
      <c r="A24" s="65">
        <v>19</v>
      </c>
      <c r="B24" s="70">
        <f>'Plot By Plot SoA'!B135</f>
        <v>112</v>
      </c>
      <c r="C24" s="67">
        <f>'Plot By Plot SoA'!C135</f>
        <v>100.4</v>
      </c>
      <c r="D24" s="102">
        <f>'Plot By Plot SoA'!D135</f>
        <v>1080.6955600000001</v>
      </c>
      <c r="E24" s="67"/>
      <c r="F24" s="74"/>
      <c r="G24" s="74">
        <f>'Plot By Plot SoA'!H135</f>
        <v>0</v>
      </c>
      <c r="H24" s="74"/>
      <c r="I24" s="71"/>
      <c r="J24" s="76"/>
      <c r="K24" s="74">
        <f>'Plot By Plot SoA'!L135</f>
        <v>0</v>
      </c>
      <c r="L24" s="69"/>
      <c r="M24" s="69"/>
      <c r="N24" s="71"/>
    </row>
    <row r="25" spans="1:14" s="25" customFormat="1" x14ac:dyDescent="0.35">
      <c r="A25" s="65">
        <v>20</v>
      </c>
      <c r="B25" s="70">
        <f>'Plot By Plot SoA'!B138</f>
        <v>114</v>
      </c>
      <c r="C25" s="67">
        <f>'Plot By Plot SoA'!C138</f>
        <v>100.4</v>
      </c>
      <c r="D25" s="102">
        <f>'Plot By Plot SoA'!D138</f>
        <v>1080.6955600000001</v>
      </c>
      <c r="E25" s="67"/>
      <c r="F25" s="74"/>
      <c r="G25" s="74">
        <f>'Plot By Plot SoA'!H138</f>
        <v>0</v>
      </c>
      <c r="H25" s="74"/>
      <c r="I25" s="71"/>
      <c r="J25" s="76"/>
      <c r="K25" s="74">
        <f>'Plot By Plot SoA'!L138</f>
        <v>0</v>
      </c>
      <c r="L25" s="69"/>
      <c r="M25" s="69"/>
      <c r="N25" s="71"/>
    </row>
    <row r="26" spans="1:14" s="25" customFormat="1" x14ac:dyDescent="0.35">
      <c r="A26" s="65">
        <v>21</v>
      </c>
      <c r="B26" s="70">
        <f>'Plot By Plot SoA'!B140</f>
        <v>116</v>
      </c>
      <c r="C26" s="67">
        <f>'Plot By Plot SoA'!C140</f>
        <v>87.7</v>
      </c>
      <c r="D26" s="102">
        <f>'Plot By Plot SoA'!D140</f>
        <v>943.99402999999995</v>
      </c>
      <c r="E26" s="67"/>
      <c r="F26" s="74"/>
      <c r="G26" s="74">
        <f>'Plot By Plot SoA'!H140</f>
        <v>0</v>
      </c>
      <c r="H26" s="74"/>
      <c r="I26" s="71"/>
      <c r="J26" s="76"/>
      <c r="K26" s="74" t="str">
        <f>'Plot By Plot SoA'!L140</f>
        <v>Y</v>
      </c>
      <c r="L26" s="69"/>
      <c r="M26" s="69"/>
      <c r="N26" s="71"/>
    </row>
    <row r="27" spans="1:14" s="25" customFormat="1" x14ac:dyDescent="0.35">
      <c r="A27" s="65">
        <v>22</v>
      </c>
      <c r="B27" s="70">
        <f>'Plot By Plot SoA'!B143</f>
        <v>118</v>
      </c>
      <c r="C27" s="67">
        <f>'Plot By Plot SoA'!C143</f>
        <v>95</v>
      </c>
      <c r="D27" s="102">
        <f>'Plot By Plot SoA'!D143</f>
        <v>1022.5704999999999</v>
      </c>
      <c r="E27" s="67"/>
      <c r="F27" s="74"/>
      <c r="G27" s="74"/>
      <c r="H27" s="74">
        <f>'Plot By Plot SoA'!I143</f>
        <v>0</v>
      </c>
      <c r="I27" s="71"/>
      <c r="J27" s="76">
        <f>'Plot By Plot SoA'!K143</f>
        <v>0</v>
      </c>
      <c r="K27" s="74"/>
      <c r="L27" s="69"/>
      <c r="M27" s="69"/>
      <c r="N27" s="71"/>
    </row>
    <row r="28" spans="1:14" s="25" customFormat="1" x14ac:dyDescent="0.35">
      <c r="A28" s="65">
        <v>23</v>
      </c>
      <c r="B28" s="70">
        <f>'Plot By Plot SoA'!B144</f>
        <v>119</v>
      </c>
      <c r="C28" s="67">
        <f>'Plot By Plot SoA'!C144</f>
        <v>95</v>
      </c>
      <c r="D28" s="102">
        <f>'Plot By Plot SoA'!D144</f>
        <v>1022.5704999999999</v>
      </c>
      <c r="E28" s="67"/>
      <c r="F28" s="74"/>
      <c r="G28" s="74"/>
      <c r="H28" s="74">
        <f>'Plot By Plot SoA'!I144</f>
        <v>0</v>
      </c>
      <c r="I28" s="71"/>
      <c r="J28" s="76">
        <f>'Plot By Plot SoA'!K144</f>
        <v>0</v>
      </c>
      <c r="K28" s="74"/>
      <c r="L28" s="69"/>
      <c r="M28" s="69"/>
      <c r="N28" s="71"/>
    </row>
    <row r="29" spans="1:14" s="25" customFormat="1" x14ac:dyDescent="0.35">
      <c r="A29" s="65">
        <v>24</v>
      </c>
      <c r="B29" s="70">
        <f>'Plot By Plot SoA'!B145</f>
        <v>120</v>
      </c>
      <c r="C29" s="67">
        <f>'Plot By Plot SoA'!C145</f>
        <v>83.1</v>
      </c>
      <c r="D29" s="102">
        <f>'Plot By Plot SoA'!D145</f>
        <v>894.4800899999999</v>
      </c>
      <c r="E29" s="67"/>
      <c r="F29" s="74"/>
      <c r="G29" s="74">
        <f>'Plot By Plot SoA'!H145</f>
        <v>0</v>
      </c>
      <c r="H29" s="74"/>
      <c r="I29" s="71"/>
      <c r="J29" s="76"/>
      <c r="K29" s="69">
        <f>'Plot By Plot SoA'!L145</f>
        <v>0</v>
      </c>
      <c r="L29" s="69"/>
      <c r="M29" s="69"/>
      <c r="N29" s="71"/>
    </row>
    <row r="30" spans="1:14" s="25" customFormat="1" x14ac:dyDescent="0.35">
      <c r="A30" s="65">
        <v>25</v>
      </c>
      <c r="B30" s="70">
        <f>'Plot By Plot SoA'!B148</f>
        <v>122</v>
      </c>
      <c r="C30" s="67">
        <f>'Plot By Plot SoA'!C148</f>
        <v>77.5</v>
      </c>
      <c r="D30" s="102">
        <f>'Plot By Plot SoA'!D148</f>
        <v>834.20224999999994</v>
      </c>
      <c r="E30" s="67"/>
      <c r="F30" s="74"/>
      <c r="G30" s="74">
        <f>'Plot By Plot SoA'!H148</f>
        <v>0</v>
      </c>
      <c r="H30" s="74"/>
      <c r="I30" s="71"/>
      <c r="J30" s="76"/>
      <c r="K30" s="69" t="str">
        <f>'Plot By Plot SoA'!L148</f>
        <v>Y</v>
      </c>
      <c r="L30" s="69"/>
      <c r="M30" s="69"/>
      <c r="N30" s="71"/>
    </row>
    <row r="31" spans="1:14" s="25" customFormat="1" x14ac:dyDescent="0.35">
      <c r="A31" s="65">
        <v>26</v>
      </c>
      <c r="B31" s="70">
        <f>'Plot By Plot SoA'!B150</f>
        <v>124</v>
      </c>
      <c r="C31" s="67">
        <f>'Plot By Plot SoA'!C150</f>
        <v>99</v>
      </c>
      <c r="D31" s="102">
        <f>'Plot By Plot SoA'!D150</f>
        <v>1065.6261</v>
      </c>
      <c r="E31" s="67"/>
      <c r="F31" s="74"/>
      <c r="G31" s="74">
        <f>'Plot By Plot SoA'!H150</f>
        <v>0</v>
      </c>
      <c r="H31" s="74"/>
      <c r="I31" s="71"/>
      <c r="J31" s="76"/>
      <c r="K31" s="69" t="str">
        <f>'Plot By Plot SoA'!L150</f>
        <v>Y</v>
      </c>
      <c r="L31" s="69"/>
      <c r="M31" s="69"/>
      <c r="N31" s="71"/>
    </row>
    <row r="32" spans="1:14" s="25" customFormat="1" x14ac:dyDescent="0.35">
      <c r="A32" s="65">
        <v>27</v>
      </c>
      <c r="B32" s="70">
        <f>'Plot By Plot SoA'!B152</f>
        <v>126</v>
      </c>
      <c r="C32" s="67">
        <f>'Plot By Plot SoA'!C152</f>
        <v>75.3</v>
      </c>
      <c r="D32" s="102">
        <f>'Plot By Plot SoA'!D152</f>
        <v>810.52166999999997</v>
      </c>
      <c r="E32" s="67"/>
      <c r="F32" s="74"/>
      <c r="G32" s="74">
        <f>'Plot By Plot SoA'!H152</f>
        <v>0</v>
      </c>
      <c r="H32" s="74"/>
      <c r="I32" s="71"/>
      <c r="J32" s="76"/>
      <c r="K32" s="69" t="str">
        <f>'Plot By Plot SoA'!L152</f>
        <v>Y</v>
      </c>
      <c r="L32" s="69"/>
      <c r="M32" s="69"/>
      <c r="N32" s="71"/>
    </row>
    <row r="33" spans="1:20" s="25" customFormat="1" x14ac:dyDescent="0.35">
      <c r="A33" s="65">
        <v>28</v>
      </c>
      <c r="B33" s="70">
        <f>'Plot By Plot SoA'!B154</f>
        <v>128</v>
      </c>
      <c r="C33" s="67">
        <f>'Plot By Plot SoA'!C154</f>
        <v>70.599999999999994</v>
      </c>
      <c r="D33" s="102">
        <f>'Plot By Plot SoA'!D154</f>
        <v>759.93133999999986</v>
      </c>
      <c r="E33" s="67"/>
      <c r="F33" s="74"/>
      <c r="G33" s="74">
        <f>'Plot By Plot SoA'!H154</f>
        <v>0</v>
      </c>
      <c r="H33" s="74"/>
      <c r="I33" s="71"/>
      <c r="J33" s="76"/>
      <c r="K33" s="69" t="str">
        <f>'Plot By Plot SoA'!L154</f>
        <v>Y</v>
      </c>
      <c r="L33" s="69"/>
      <c r="M33" s="69"/>
      <c r="N33" s="71"/>
    </row>
    <row r="34" spans="1:20" s="25" customFormat="1" x14ac:dyDescent="0.35">
      <c r="A34" s="65">
        <v>29</v>
      </c>
      <c r="B34" s="70">
        <f>'Plot By Plot SoA'!B156</f>
        <v>130</v>
      </c>
      <c r="C34" s="67">
        <f>'Plot By Plot SoA'!C156</f>
        <v>108.2</v>
      </c>
      <c r="D34" s="102">
        <f>'Plot By Plot SoA'!D156</f>
        <v>1164.65398</v>
      </c>
      <c r="E34" s="67"/>
      <c r="F34" s="74"/>
      <c r="G34" s="74">
        <f>'Plot By Plot SoA'!H156</f>
        <v>0</v>
      </c>
      <c r="H34" s="74"/>
      <c r="I34" s="71"/>
      <c r="J34" s="76"/>
      <c r="K34" s="69">
        <f>'Plot By Plot SoA'!L156</f>
        <v>0</v>
      </c>
      <c r="L34" s="69"/>
      <c r="M34" s="69"/>
      <c r="N34" s="71"/>
    </row>
    <row r="35" spans="1:20" s="25" customFormat="1" x14ac:dyDescent="0.35">
      <c r="A35" s="65">
        <v>30</v>
      </c>
      <c r="B35" s="103">
        <f>'Plot By Plot SoA'!B160</f>
        <v>132</v>
      </c>
      <c r="C35" s="67">
        <f>'Plot By Plot SoA'!C160</f>
        <v>72.599999999999994</v>
      </c>
      <c r="D35" s="102">
        <f>'Plot By Plot SoA'!D160</f>
        <v>781.45913999999993</v>
      </c>
      <c r="E35" s="67"/>
      <c r="F35" s="74"/>
      <c r="G35" s="74">
        <f>'Plot By Plot SoA'!H160</f>
        <v>0</v>
      </c>
      <c r="H35" s="74"/>
      <c r="I35" s="71"/>
      <c r="J35" s="76"/>
      <c r="K35" s="69" t="str">
        <f>'Plot By Plot SoA'!L160</f>
        <v>Y</v>
      </c>
      <c r="L35" s="69"/>
      <c r="M35" s="69"/>
      <c r="N35" s="71"/>
    </row>
    <row r="36" spans="1:20" s="25" customFormat="1" x14ac:dyDescent="0.35">
      <c r="A36" s="65">
        <v>31</v>
      </c>
      <c r="B36" s="70">
        <f>'Plot By Plot SoA'!B163</f>
        <v>134</v>
      </c>
      <c r="C36" s="67">
        <f>'Plot By Plot SoA'!C163</f>
        <v>97.1</v>
      </c>
      <c r="D36" s="102">
        <f>'Plot By Plot SoA'!D163</f>
        <v>1045.1746899999998</v>
      </c>
      <c r="E36" s="67"/>
      <c r="F36" s="74"/>
      <c r="G36" s="74">
        <f>'Plot By Plot SoA'!H163</f>
        <v>0</v>
      </c>
      <c r="H36" s="74"/>
      <c r="I36" s="71"/>
      <c r="J36" s="76"/>
      <c r="K36" s="69">
        <f>'Plot By Plot SoA'!L163</f>
        <v>0</v>
      </c>
      <c r="L36" s="69"/>
      <c r="M36" s="69"/>
      <c r="N36" s="71"/>
    </row>
    <row r="37" spans="1:20" s="25" customFormat="1" x14ac:dyDescent="0.35">
      <c r="A37" s="65">
        <v>32</v>
      </c>
      <c r="B37" s="70">
        <f>'Plot By Plot SoA'!B166</f>
        <v>136</v>
      </c>
      <c r="C37" s="67">
        <f>'Plot By Plot SoA'!C166</f>
        <v>88.5</v>
      </c>
      <c r="D37" s="102">
        <f>'Plot By Plot SoA'!D166</f>
        <v>952.60514999999998</v>
      </c>
      <c r="E37" s="67"/>
      <c r="F37" s="74"/>
      <c r="G37" s="74">
        <f>'Plot By Plot SoA'!H166</f>
        <v>0</v>
      </c>
      <c r="H37" s="74"/>
      <c r="I37" s="71"/>
      <c r="J37" s="76"/>
      <c r="K37" s="69">
        <f>'Plot By Plot SoA'!L166</f>
        <v>0</v>
      </c>
      <c r="L37" s="69"/>
      <c r="M37" s="69"/>
      <c r="N37" s="71"/>
    </row>
    <row r="38" spans="1:20" s="25" customFormat="1" ht="15.75" thickBot="1" x14ac:dyDescent="0.4">
      <c r="A38" s="139">
        <v>33</v>
      </c>
      <c r="B38" s="40">
        <f>'Plot By Plot SoA'!B168</f>
        <v>138</v>
      </c>
      <c r="C38" s="140">
        <f>'Plot By Plot SoA'!C168</f>
        <v>90.7</v>
      </c>
      <c r="D38" s="37">
        <f>'Plot By Plot SoA'!D168</f>
        <v>976.28572999999994</v>
      </c>
      <c r="E38" s="140"/>
      <c r="F38" s="141"/>
      <c r="G38" s="141">
        <f>'Plot By Plot SoA'!H168</f>
        <v>0</v>
      </c>
      <c r="H38" s="141"/>
      <c r="I38" s="35"/>
      <c r="J38" s="41"/>
      <c r="K38" s="64" t="str">
        <f>'Plot By Plot SoA'!L168</f>
        <v>Y</v>
      </c>
      <c r="L38" s="64"/>
      <c r="M38" s="64"/>
      <c r="N38" s="35"/>
    </row>
    <row r="39" spans="1:20" s="25" customFormat="1" ht="39" customHeight="1" thickBot="1" x14ac:dyDescent="0.4">
      <c r="A39" s="137" t="s">
        <v>47</v>
      </c>
      <c r="B39" s="138">
        <f>COUNTA(B6:B38)</f>
        <v>33</v>
      </c>
      <c r="C39" s="143">
        <f>SUM(C6:C38)</f>
        <v>3036.3999999999996</v>
      </c>
      <c r="D39" s="108">
        <f>SUM(C39*10.7639)</f>
        <v>32683.505959999995</v>
      </c>
      <c r="E39" s="105">
        <f t="shared" ref="E39:N39" si="0">COUNTA(E6:E38)</f>
        <v>0</v>
      </c>
      <c r="F39" s="122">
        <f t="shared" si="0"/>
        <v>0</v>
      </c>
      <c r="G39" s="105">
        <f t="shared" si="0"/>
        <v>21</v>
      </c>
      <c r="H39" s="122">
        <f t="shared" si="0"/>
        <v>12</v>
      </c>
      <c r="I39" s="124">
        <f t="shared" si="0"/>
        <v>0</v>
      </c>
      <c r="J39" s="105">
        <f t="shared" si="0"/>
        <v>12</v>
      </c>
      <c r="K39" s="122">
        <f t="shared" si="0"/>
        <v>21</v>
      </c>
      <c r="L39" s="122">
        <f t="shared" si="0"/>
        <v>0</v>
      </c>
      <c r="M39" s="105">
        <f t="shared" si="0"/>
        <v>0</v>
      </c>
      <c r="N39" s="124">
        <f t="shared" si="0"/>
        <v>0</v>
      </c>
    </row>
    <row r="40" spans="1:20" s="25" customFormat="1" x14ac:dyDescent="0.35">
      <c r="A40" s="110" t="s">
        <v>26</v>
      </c>
      <c r="B40" s="111"/>
      <c r="C40" s="112"/>
      <c r="D40" s="142"/>
      <c r="E40" s="113"/>
      <c r="F40" s="114"/>
      <c r="G40" s="114"/>
      <c r="H40" s="115"/>
      <c r="I40" s="116"/>
      <c r="J40" s="117">
        <v>1</v>
      </c>
      <c r="K40" s="118">
        <v>2</v>
      </c>
      <c r="L40" s="118">
        <v>3</v>
      </c>
      <c r="M40" s="119">
        <v>4</v>
      </c>
      <c r="N40" s="120">
        <v>5</v>
      </c>
      <c r="P40" s="1960" t="s">
        <v>53</v>
      </c>
      <c r="Q40" s="1961"/>
      <c r="R40" s="1961"/>
      <c r="S40" s="1961"/>
      <c r="T40" s="1962"/>
    </row>
    <row r="41" spans="1:20" s="25" customFormat="1" x14ac:dyDescent="0.35">
      <c r="A41" s="125">
        <v>34</v>
      </c>
      <c r="B41" s="126">
        <f>'Plot By Plot SoA'!B290</f>
        <v>259</v>
      </c>
      <c r="C41" s="36">
        <f>'Plot By Plot SoA'!C290</f>
        <v>43.4</v>
      </c>
      <c r="D41" s="127">
        <f>'Plot By Plot SoA'!D290</f>
        <v>467.15325999999999</v>
      </c>
      <c r="E41" s="128"/>
      <c r="F41" s="129"/>
      <c r="G41" s="129">
        <f>'Plot By Plot SoA'!H290</f>
        <v>0</v>
      </c>
      <c r="H41" s="126"/>
      <c r="I41" s="130"/>
      <c r="J41" s="131"/>
      <c r="K41" s="132">
        <f>'Plot By Plot SoA'!L290</f>
        <v>0</v>
      </c>
      <c r="L41" s="132"/>
      <c r="M41" s="132"/>
      <c r="N41" s="35"/>
      <c r="P41" s="164"/>
      <c r="Q41" s="159" t="s">
        <v>54</v>
      </c>
      <c r="R41" s="159" t="s">
        <v>55</v>
      </c>
      <c r="S41" s="160" t="s">
        <v>56</v>
      </c>
      <c r="T41" s="163" t="s">
        <v>52</v>
      </c>
    </row>
    <row r="42" spans="1:20" s="25" customFormat="1" x14ac:dyDescent="0.35">
      <c r="A42" s="133">
        <v>35</v>
      </c>
      <c r="B42" s="96">
        <f>'Plot By Plot SoA'!B292</f>
        <v>261</v>
      </c>
      <c r="C42" s="36">
        <f>'Plot By Plot SoA'!C292</f>
        <v>43.4</v>
      </c>
      <c r="D42" s="37">
        <f>'Plot By Plot SoA'!D292</f>
        <v>467.15325999999999</v>
      </c>
      <c r="E42" s="36"/>
      <c r="F42" s="134"/>
      <c r="G42" s="134">
        <f>'Plot By Plot SoA'!H292</f>
        <v>0</v>
      </c>
      <c r="H42" s="96"/>
      <c r="I42" s="35"/>
      <c r="J42" s="38"/>
      <c r="K42" s="39">
        <f>'Plot By Plot SoA'!L292</f>
        <v>0</v>
      </c>
      <c r="L42" s="39"/>
      <c r="M42" s="39"/>
      <c r="N42" s="35"/>
      <c r="P42" s="155" t="s">
        <v>28</v>
      </c>
      <c r="Q42" s="103">
        <v>0</v>
      </c>
      <c r="R42" s="103">
        <v>0</v>
      </c>
      <c r="S42" s="70">
        <v>10</v>
      </c>
      <c r="T42" s="71">
        <f>SUM(Q42:S42)</f>
        <v>10</v>
      </c>
    </row>
    <row r="43" spans="1:20" s="25" customFormat="1" x14ac:dyDescent="0.35">
      <c r="A43" s="133">
        <v>36</v>
      </c>
      <c r="B43" s="96">
        <f>'Plot By Plot SoA'!B294</f>
        <v>263</v>
      </c>
      <c r="C43" s="36">
        <f>'Plot By Plot SoA'!C294</f>
        <v>43.4</v>
      </c>
      <c r="D43" s="37">
        <f>'Plot By Plot SoA'!D294</f>
        <v>467.15325999999999</v>
      </c>
      <c r="E43" s="36"/>
      <c r="F43" s="134"/>
      <c r="G43" s="134">
        <f>'Plot By Plot SoA'!H294</f>
        <v>0</v>
      </c>
      <c r="H43" s="96"/>
      <c r="I43" s="35"/>
      <c r="J43" s="38"/>
      <c r="K43" s="39">
        <f>'Plot By Plot SoA'!L294</f>
        <v>0</v>
      </c>
      <c r="L43" s="39"/>
      <c r="M43" s="39"/>
      <c r="N43" s="35"/>
      <c r="P43" s="155" t="s">
        <v>29</v>
      </c>
      <c r="Q43" s="103">
        <v>0</v>
      </c>
      <c r="R43" s="103">
        <v>11</v>
      </c>
      <c r="S43" s="70">
        <v>0</v>
      </c>
      <c r="T43" s="71">
        <f>SUM(Q43:S43)</f>
        <v>11</v>
      </c>
    </row>
    <row r="44" spans="1:20" s="25" customFormat="1" ht="15.75" thickBot="1" x14ac:dyDescent="0.4">
      <c r="A44" s="133">
        <v>37</v>
      </c>
      <c r="B44" s="96">
        <f>'Plot By Plot SoA'!B296</f>
        <v>265</v>
      </c>
      <c r="C44" s="36">
        <f>'Plot By Plot SoA'!C296</f>
        <v>43.4</v>
      </c>
      <c r="D44" s="37">
        <f>'Plot By Plot SoA'!D296</f>
        <v>467.15325999999999</v>
      </c>
      <c r="E44" s="36"/>
      <c r="F44" s="134"/>
      <c r="G44" s="134"/>
      <c r="H44" s="96" t="str">
        <f>'Plot By Plot SoA'!I296</f>
        <v>Y</v>
      </c>
      <c r="I44" s="35"/>
      <c r="J44" s="38" t="str">
        <f>'Plot By Plot SoA'!K296</f>
        <v>Y</v>
      </c>
      <c r="K44" s="39"/>
      <c r="L44" s="39"/>
      <c r="M44" s="39"/>
      <c r="N44" s="35"/>
      <c r="P44" s="165" t="s">
        <v>30</v>
      </c>
      <c r="Q44" s="161">
        <v>0</v>
      </c>
      <c r="R44" s="161">
        <v>0</v>
      </c>
      <c r="S44" s="162">
        <v>1</v>
      </c>
      <c r="T44" s="71">
        <f>SUM(Q44:S44)</f>
        <v>1</v>
      </c>
    </row>
    <row r="45" spans="1:20" s="25" customFormat="1" ht="15.75" thickBot="1" x14ac:dyDescent="0.4">
      <c r="A45" s="133">
        <v>38</v>
      </c>
      <c r="B45" s="96">
        <f>'Plot By Plot SoA'!B297</f>
        <v>266</v>
      </c>
      <c r="C45" s="36">
        <f>'Plot By Plot SoA'!C297</f>
        <v>43.4</v>
      </c>
      <c r="D45" s="37">
        <f>'Plot By Plot SoA'!D297</f>
        <v>467.15325999999999</v>
      </c>
      <c r="E45" s="36"/>
      <c r="F45" s="134"/>
      <c r="G45" s="134"/>
      <c r="H45" s="96" t="str">
        <f>'Plot By Plot SoA'!I297</f>
        <v>Y</v>
      </c>
      <c r="I45" s="35"/>
      <c r="J45" s="38" t="str">
        <f>'Plot By Plot SoA'!K297</f>
        <v>Y</v>
      </c>
      <c r="K45" s="39"/>
      <c r="L45" s="39"/>
      <c r="M45" s="39"/>
      <c r="N45" s="35"/>
      <c r="P45" s="156" t="s">
        <v>52</v>
      </c>
      <c r="Q45" s="154">
        <f>SUM(Q42:Q44)</f>
        <v>0</v>
      </c>
      <c r="R45" s="154">
        <f>SUM(R42:R44)</f>
        <v>11</v>
      </c>
      <c r="S45" s="154">
        <f>SUM(S42:S44)</f>
        <v>11</v>
      </c>
      <c r="T45" s="153">
        <f>SUM(Q45:S45)</f>
        <v>22</v>
      </c>
    </row>
    <row r="46" spans="1:20" s="25" customFormat="1" x14ac:dyDescent="0.35">
      <c r="A46" s="133">
        <v>39</v>
      </c>
      <c r="B46" s="96">
        <f>'Plot By Plot SoA'!B298</f>
        <v>267</v>
      </c>
      <c r="C46" s="36">
        <f>'Plot By Plot SoA'!C298</f>
        <v>43.4</v>
      </c>
      <c r="D46" s="37">
        <f>'Plot By Plot SoA'!D298</f>
        <v>467.15325999999999</v>
      </c>
      <c r="E46" s="36"/>
      <c r="F46" s="134"/>
      <c r="G46" s="134"/>
      <c r="H46" s="96" t="str">
        <f>'Plot By Plot SoA'!I298</f>
        <v>Y</v>
      </c>
      <c r="I46" s="35"/>
      <c r="J46" s="38" t="str">
        <f>'Plot By Plot SoA'!K298</f>
        <v>Y</v>
      </c>
      <c r="K46" s="39"/>
      <c r="L46" s="39"/>
      <c r="M46" s="39"/>
      <c r="N46" s="35"/>
    </row>
    <row r="47" spans="1:20" s="25" customFormat="1" x14ac:dyDescent="0.35">
      <c r="A47" s="133">
        <v>40</v>
      </c>
      <c r="B47" s="96">
        <f>'Plot By Plot SoA'!B299</f>
        <v>268</v>
      </c>
      <c r="C47" s="36">
        <f>'Plot By Plot SoA'!C299</f>
        <v>43.4</v>
      </c>
      <c r="D47" s="37">
        <f>'Plot By Plot SoA'!D299</f>
        <v>467.15325999999999</v>
      </c>
      <c r="E47" s="36"/>
      <c r="F47" s="134"/>
      <c r="G47" s="134"/>
      <c r="H47" s="96" t="str">
        <f>'Plot By Plot SoA'!I299</f>
        <v>Y</v>
      </c>
      <c r="I47" s="35"/>
      <c r="J47" s="38" t="str">
        <f>'Plot By Plot SoA'!K299</f>
        <v>Y</v>
      </c>
      <c r="K47" s="39"/>
      <c r="L47" s="39"/>
      <c r="M47" s="39"/>
      <c r="N47" s="35"/>
    </row>
    <row r="48" spans="1:20" s="25" customFormat="1" x14ac:dyDescent="0.35">
      <c r="A48" s="133">
        <v>41</v>
      </c>
      <c r="B48" s="96">
        <f>'Plot By Plot SoA'!B300</f>
        <v>269</v>
      </c>
      <c r="C48" s="36">
        <f>'Plot By Plot SoA'!C300</f>
        <v>43.4</v>
      </c>
      <c r="D48" s="37">
        <f>'Plot By Plot SoA'!D300</f>
        <v>467.15325999999999</v>
      </c>
      <c r="E48" s="36"/>
      <c r="F48" s="134"/>
      <c r="G48" s="134"/>
      <c r="H48" s="96" t="str">
        <f>'Plot By Plot SoA'!I300</f>
        <v>Y</v>
      </c>
      <c r="I48" s="35"/>
      <c r="J48" s="38" t="str">
        <f>'Plot By Plot SoA'!K300</f>
        <v>Y</v>
      </c>
      <c r="K48" s="39"/>
      <c r="L48" s="39"/>
      <c r="M48" s="39"/>
      <c r="N48" s="35"/>
    </row>
    <row r="49" spans="1:14" s="25" customFormat="1" x14ac:dyDescent="0.35">
      <c r="A49" s="133">
        <v>42</v>
      </c>
      <c r="B49" s="96">
        <f>'Plot By Plot SoA'!B301</f>
        <v>270</v>
      </c>
      <c r="C49" s="36">
        <f>'Plot By Plot SoA'!C301</f>
        <v>51.2</v>
      </c>
      <c r="D49" s="37">
        <f>'Plot By Plot SoA'!D301</f>
        <v>551.11167999999998</v>
      </c>
      <c r="E49" s="36"/>
      <c r="F49" s="134"/>
      <c r="G49" s="134"/>
      <c r="H49" s="96" t="str">
        <f>'Plot By Plot SoA'!I301</f>
        <v>Y</v>
      </c>
      <c r="I49" s="35"/>
      <c r="J49" s="38" t="str">
        <f>'Plot By Plot SoA'!K301</f>
        <v>Y</v>
      </c>
      <c r="K49" s="39"/>
      <c r="L49" s="39"/>
      <c r="M49" s="39"/>
      <c r="N49" s="35"/>
    </row>
    <row r="50" spans="1:14" s="25" customFormat="1" x14ac:dyDescent="0.35">
      <c r="A50" s="133">
        <v>43</v>
      </c>
      <c r="B50" s="96">
        <f>'Plot By Plot SoA'!B302</f>
        <v>271</v>
      </c>
      <c r="C50" s="36">
        <f>'Plot By Plot SoA'!C302</f>
        <v>43.4</v>
      </c>
      <c r="D50" s="37">
        <f>'Plot By Plot SoA'!D302</f>
        <v>467.15325999999999</v>
      </c>
      <c r="E50" s="36"/>
      <c r="F50" s="134"/>
      <c r="G50" s="134"/>
      <c r="H50" s="96" t="str">
        <f>'Plot By Plot SoA'!I302</f>
        <v>Y</v>
      </c>
      <c r="I50" s="35"/>
      <c r="J50" s="38" t="str">
        <f>'Plot By Plot SoA'!K302</f>
        <v>Y</v>
      </c>
      <c r="K50" s="39"/>
      <c r="L50" s="39"/>
      <c r="M50" s="39"/>
      <c r="N50" s="35"/>
    </row>
    <row r="51" spans="1:14" s="25" customFormat="1" x14ac:dyDescent="0.35">
      <c r="A51" s="133">
        <v>44</v>
      </c>
      <c r="B51" s="96">
        <f>'Plot By Plot SoA'!B303</f>
        <v>272</v>
      </c>
      <c r="C51" s="36">
        <f>'Plot By Plot SoA'!C303</f>
        <v>43.4</v>
      </c>
      <c r="D51" s="37">
        <f>'Plot By Plot SoA'!D303</f>
        <v>467.15325999999999</v>
      </c>
      <c r="E51" s="36"/>
      <c r="F51" s="134"/>
      <c r="G51" s="134"/>
      <c r="H51" s="96" t="str">
        <f>'Plot By Plot SoA'!I303</f>
        <v>Y</v>
      </c>
      <c r="I51" s="35"/>
      <c r="J51" s="38" t="str">
        <f>'Plot By Plot SoA'!K303</f>
        <v>Y</v>
      </c>
      <c r="K51" s="39"/>
      <c r="L51" s="39"/>
      <c r="M51" s="39"/>
      <c r="N51" s="35"/>
    </row>
    <row r="52" spans="1:14" s="25" customFormat="1" x14ac:dyDescent="0.35">
      <c r="A52" s="133">
        <v>45</v>
      </c>
      <c r="B52" s="96">
        <f>'Plot By Plot SoA'!B305</f>
        <v>274</v>
      </c>
      <c r="C52" s="36">
        <f>'Plot By Plot SoA'!C305</f>
        <v>39.200000000000003</v>
      </c>
      <c r="D52" s="37">
        <f>'Plot By Plot SoA'!D305</f>
        <v>421.94488000000001</v>
      </c>
      <c r="E52" s="36"/>
      <c r="F52" s="134"/>
      <c r="G52" s="134"/>
      <c r="H52" s="96">
        <f>'Plot By Plot SoA'!I305</f>
        <v>0</v>
      </c>
      <c r="I52" s="35"/>
      <c r="J52" s="38" t="str">
        <f>'Plot By Plot SoA'!K305</f>
        <v>Y</v>
      </c>
      <c r="K52" s="39"/>
      <c r="L52" s="39"/>
      <c r="M52" s="39"/>
      <c r="N52" s="35"/>
    </row>
    <row r="53" spans="1:14" s="25" customFormat="1" x14ac:dyDescent="0.35">
      <c r="A53" s="133">
        <v>46</v>
      </c>
      <c r="B53" s="96">
        <f>'Plot By Plot SoA'!B306</f>
        <v>275</v>
      </c>
      <c r="C53" s="36">
        <f>'Plot By Plot SoA'!C306</f>
        <v>57.8</v>
      </c>
      <c r="D53" s="37">
        <f>'Plot By Plot SoA'!D306</f>
        <v>622.15341999999998</v>
      </c>
      <c r="E53" s="36"/>
      <c r="F53" s="134"/>
      <c r="G53" s="134" t="str">
        <f>'Plot By Plot SoA'!H306</f>
        <v>Y</v>
      </c>
      <c r="H53" s="96"/>
      <c r="I53" s="35"/>
      <c r="J53" s="38"/>
      <c r="K53" s="39">
        <f>'Plot By Plot SoA'!L306</f>
        <v>0</v>
      </c>
      <c r="L53" s="39"/>
      <c r="M53" s="39"/>
      <c r="N53" s="35"/>
    </row>
    <row r="54" spans="1:14" s="25" customFormat="1" x14ac:dyDescent="0.35">
      <c r="A54" s="133">
        <v>47</v>
      </c>
      <c r="B54" s="96">
        <f>'Plot By Plot SoA'!B307</f>
        <v>276</v>
      </c>
      <c r="C54" s="36">
        <f>'Plot By Plot SoA'!C307</f>
        <v>57.8</v>
      </c>
      <c r="D54" s="37">
        <f>'Plot By Plot SoA'!D307</f>
        <v>622.15341999999998</v>
      </c>
      <c r="E54" s="36"/>
      <c r="F54" s="134"/>
      <c r="G54" s="134" t="str">
        <f>'Plot By Plot SoA'!H307</f>
        <v>Y</v>
      </c>
      <c r="H54" s="96"/>
      <c r="I54" s="35"/>
      <c r="J54" s="38"/>
      <c r="K54" s="39">
        <f>'Plot By Plot SoA'!L307</f>
        <v>0</v>
      </c>
      <c r="L54" s="39"/>
      <c r="M54" s="39"/>
      <c r="N54" s="35"/>
    </row>
    <row r="55" spans="1:14" s="25" customFormat="1" x14ac:dyDescent="0.35">
      <c r="A55" s="133">
        <v>48</v>
      </c>
      <c r="B55" s="96">
        <f>'Plot By Plot SoA'!B308</f>
        <v>277</v>
      </c>
      <c r="C55" s="36">
        <f>'Plot By Plot SoA'!C308</f>
        <v>50.1</v>
      </c>
      <c r="D55" s="37">
        <f>'Plot By Plot SoA'!D308</f>
        <v>539.27139</v>
      </c>
      <c r="E55" s="36"/>
      <c r="F55" s="134"/>
      <c r="G55" s="134">
        <f>'Plot By Plot SoA'!H308</f>
        <v>0</v>
      </c>
      <c r="H55" s="96"/>
      <c r="I55" s="35"/>
      <c r="J55" s="38"/>
      <c r="K55" s="39">
        <f>'Plot By Plot SoA'!L308</f>
        <v>0</v>
      </c>
      <c r="L55" s="39"/>
      <c r="M55" s="39"/>
      <c r="N55" s="35"/>
    </row>
    <row r="56" spans="1:14" s="25" customFormat="1" x14ac:dyDescent="0.35">
      <c r="A56" s="133">
        <v>49</v>
      </c>
      <c r="B56" s="96">
        <f>'Plot By Plot SoA'!B309</f>
        <v>278</v>
      </c>
      <c r="C56" s="36">
        <f>'Plot By Plot SoA'!C309</f>
        <v>100.1</v>
      </c>
      <c r="D56" s="37">
        <f>'Plot By Plot SoA'!D309</f>
        <v>1077.4663899999998</v>
      </c>
      <c r="E56" s="36"/>
      <c r="F56" s="134"/>
      <c r="G56" s="134" t="str">
        <f>'Plot By Plot SoA'!H309</f>
        <v>Y</v>
      </c>
      <c r="H56" s="96"/>
      <c r="I56" s="35"/>
      <c r="J56" s="38"/>
      <c r="K56" s="39" t="str">
        <f>'Plot By Plot SoA'!L309</f>
        <v>Y</v>
      </c>
      <c r="L56" s="39"/>
      <c r="M56" s="39"/>
      <c r="N56" s="35"/>
    </row>
    <row r="57" spans="1:14" s="25" customFormat="1" x14ac:dyDescent="0.35">
      <c r="A57" s="133">
        <v>50</v>
      </c>
      <c r="B57" s="96">
        <f>'Plot By Plot SoA'!B310</f>
        <v>279</v>
      </c>
      <c r="C57" s="36">
        <f>'Plot By Plot SoA'!C310</f>
        <v>57.8</v>
      </c>
      <c r="D57" s="37">
        <f>'Plot By Plot SoA'!D310</f>
        <v>622.15341999999998</v>
      </c>
      <c r="E57" s="36"/>
      <c r="F57" s="134"/>
      <c r="G57" s="134" t="str">
        <f>'Plot By Plot SoA'!H310</f>
        <v>Y</v>
      </c>
      <c r="H57" s="96"/>
      <c r="I57" s="35"/>
      <c r="J57" s="38"/>
      <c r="K57" s="39">
        <f>'Plot By Plot SoA'!L310</f>
        <v>0</v>
      </c>
      <c r="L57" s="39"/>
      <c r="M57" s="39"/>
      <c r="N57" s="35"/>
    </row>
    <row r="58" spans="1:14" s="25" customFormat="1" x14ac:dyDescent="0.35">
      <c r="A58" s="133">
        <v>51</v>
      </c>
      <c r="B58" s="96">
        <f>'Plot By Plot SoA'!B311</f>
        <v>280</v>
      </c>
      <c r="C58" s="36">
        <f>'Plot By Plot SoA'!C311</f>
        <v>57.8</v>
      </c>
      <c r="D58" s="37">
        <f>'Plot By Plot SoA'!D311</f>
        <v>622.15341999999998</v>
      </c>
      <c r="E58" s="36"/>
      <c r="F58" s="134"/>
      <c r="G58" s="134" t="str">
        <f>'Plot By Plot SoA'!H311</f>
        <v>Y</v>
      </c>
      <c r="H58" s="96"/>
      <c r="I58" s="35"/>
      <c r="J58" s="38"/>
      <c r="K58" s="39">
        <f>'Plot By Plot SoA'!L311</f>
        <v>0</v>
      </c>
      <c r="L58" s="39"/>
      <c r="M58" s="39"/>
      <c r="N58" s="35"/>
    </row>
    <row r="59" spans="1:14" s="25" customFormat="1" x14ac:dyDescent="0.35">
      <c r="A59" s="133">
        <v>52</v>
      </c>
      <c r="B59" s="96">
        <f>'Plot By Plot SoA'!B313</f>
        <v>282</v>
      </c>
      <c r="C59" s="36">
        <f>'Plot By Plot SoA'!C313</f>
        <v>69.599999999999994</v>
      </c>
      <c r="D59" s="37">
        <f>'Plot By Plot SoA'!D313</f>
        <v>749.16743999999994</v>
      </c>
      <c r="E59" s="36"/>
      <c r="F59" s="134"/>
      <c r="G59" s="134" t="str">
        <f>'Plot By Plot SoA'!H313</f>
        <v>Y</v>
      </c>
      <c r="H59" s="96"/>
      <c r="I59" s="35"/>
      <c r="J59" s="38"/>
      <c r="K59" s="39" t="str">
        <f>'Plot By Plot SoA'!L313</f>
        <v>Y</v>
      </c>
      <c r="L59" s="39"/>
      <c r="M59" s="39"/>
      <c r="N59" s="35"/>
    </row>
    <row r="60" spans="1:14" s="25" customFormat="1" x14ac:dyDescent="0.35">
      <c r="A60" s="133">
        <v>53</v>
      </c>
      <c r="B60" s="96">
        <f>'Plot By Plot SoA'!B316</f>
        <v>285</v>
      </c>
      <c r="C60" s="36">
        <f>'Plot By Plot SoA'!C316</f>
        <v>87.3</v>
      </c>
      <c r="D60" s="37">
        <f>'Plot By Plot SoA'!D316</f>
        <v>939.68846999999994</v>
      </c>
      <c r="E60" s="36"/>
      <c r="F60" s="134"/>
      <c r="G60" s="134" t="str">
        <f>'Plot By Plot SoA'!H316</f>
        <v>Y</v>
      </c>
      <c r="H60" s="96"/>
      <c r="I60" s="35"/>
      <c r="J60" s="38"/>
      <c r="K60" s="39">
        <f>'Plot By Plot SoA'!L316</f>
        <v>0</v>
      </c>
      <c r="L60" s="39"/>
      <c r="M60" s="39"/>
      <c r="N60" s="35"/>
    </row>
    <row r="61" spans="1:14" s="25" customFormat="1" x14ac:dyDescent="0.35">
      <c r="A61" s="133">
        <v>54</v>
      </c>
      <c r="B61" s="96">
        <f>'Plot By Plot SoA'!B319</f>
        <v>288</v>
      </c>
      <c r="C61" s="36">
        <f>'Plot By Plot SoA'!C319</f>
        <v>69.599999999999994</v>
      </c>
      <c r="D61" s="37">
        <f>'Plot By Plot SoA'!D319</f>
        <v>749.16743999999994</v>
      </c>
      <c r="E61" s="36"/>
      <c r="F61" s="134"/>
      <c r="G61" s="134"/>
      <c r="H61" s="96">
        <f>'Plot By Plot SoA'!I319</f>
        <v>0</v>
      </c>
      <c r="I61" s="35"/>
      <c r="J61" s="38">
        <f>'Plot By Plot SoA'!K319</f>
        <v>0</v>
      </c>
      <c r="K61" s="39"/>
      <c r="L61" s="39"/>
      <c r="M61" s="39"/>
      <c r="N61" s="35"/>
    </row>
    <row r="62" spans="1:14" s="25" customFormat="1" ht="15.75" thickBot="1" x14ac:dyDescent="0.4">
      <c r="A62" s="139">
        <v>55</v>
      </c>
      <c r="B62" s="96">
        <f>'Plot By Plot SoA'!B320</f>
        <v>289</v>
      </c>
      <c r="C62" s="36">
        <f>'Plot By Plot SoA'!C320</f>
        <v>59.4</v>
      </c>
      <c r="D62" s="37">
        <f>'Plot By Plot SoA'!D320</f>
        <v>639.37565999999993</v>
      </c>
      <c r="E62" s="140"/>
      <c r="F62" s="64"/>
      <c r="G62" s="64"/>
      <c r="H62" s="40" t="str">
        <f>'Plot By Plot SoA'!I320</f>
        <v>Y</v>
      </c>
      <c r="I62" s="35"/>
      <c r="J62" s="41"/>
      <c r="K62" s="141"/>
      <c r="L62" s="141">
        <f>'Plot By Plot SoA'!M320</f>
        <v>0</v>
      </c>
      <c r="M62" s="141"/>
      <c r="N62" s="35"/>
    </row>
    <row r="63" spans="1:14" s="25" customFormat="1" ht="39" customHeight="1" thickBot="1" x14ac:dyDescent="0.4">
      <c r="A63" s="121" t="s">
        <v>47</v>
      </c>
      <c r="B63" s="109">
        <f>COUNTA(B41:B62)</f>
        <v>22</v>
      </c>
      <c r="C63" s="143">
        <f>SUM(C41:C62)</f>
        <v>1191.6999999999998</v>
      </c>
      <c r="D63" s="108">
        <f>SUM(C63*10.7639)</f>
        <v>12827.339629999997</v>
      </c>
      <c r="E63" s="105">
        <f t="shared" ref="E63:N63" si="1">COUNTA(E41:E62)</f>
        <v>0</v>
      </c>
      <c r="F63" s="122">
        <f t="shared" si="1"/>
        <v>0</v>
      </c>
      <c r="G63" s="105">
        <f t="shared" si="1"/>
        <v>11</v>
      </c>
      <c r="H63" s="122">
        <f t="shared" si="1"/>
        <v>11</v>
      </c>
      <c r="I63" s="124">
        <f t="shared" si="1"/>
        <v>0</v>
      </c>
      <c r="J63" s="105">
        <f t="shared" si="1"/>
        <v>10</v>
      </c>
      <c r="K63" s="122">
        <f t="shared" si="1"/>
        <v>11</v>
      </c>
      <c r="L63" s="122">
        <f t="shared" si="1"/>
        <v>1</v>
      </c>
      <c r="M63" s="105">
        <f t="shared" si="1"/>
        <v>0</v>
      </c>
      <c r="N63" s="124">
        <f t="shared" si="1"/>
        <v>0</v>
      </c>
    </row>
    <row r="64" spans="1:14" s="25" customFormat="1" ht="45.75" thickBot="1" x14ac:dyDescent="0.4">
      <c r="A64" s="1963"/>
      <c r="B64" s="46" t="s">
        <v>5</v>
      </c>
      <c r="C64" s="144"/>
      <c r="D64" s="145"/>
      <c r="E64" s="10">
        <f t="shared" ref="E64:N64" si="2">COUNTA(E41:E62,E6:E38)</f>
        <v>0</v>
      </c>
      <c r="F64" s="10">
        <f t="shared" si="2"/>
        <v>0</v>
      </c>
      <c r="G64" s="10">
        <f t="shared" si="2"/>
        <v>32</v>
      </c>
      <c r="H64" s="10">
        <f t="shared" si="2"/>
        <v>23</v>
      </c>
      <c r="I64" s="98">
        <f t="shared" si="2"/>
        <v>0</v>
      </c>
      <c r="J64" s="97">
        <f t="shared" si="2"/>
        <v>22</v>
      </c>
      <c r="K64" s="97">
        <f t="shared" si="2"/>
        <v>32</v>
      </c>
      <c r="L64" s="97">
        <f t="shared" si="2"/>
        <v>1</v>
      </c>
      <c r="M64" s="97">
        <f t="shared" si="2"/>
        <v>0</v>
      </c>
      <c r="N64" s="107">
        <f t="shared" si="2"/>
        <v>0</v>
      </c>
    </row>
    <row r="65" spans="1:20" s="25" customFormat="1" ht="30.75" thickBot="1" x14ac:dyDescent="0.4">
      <c r="A65" s="1964"/>
      <c r="B65" s="47" t="s">
        <v>6</v>
      </c>
      <c r="C65" s="1954">
        <f>SUM(C41:C62,C6:C38)</f>
        <v>4228.0999999999995</v>
      </c>
      <c r="D65" s="1955"/>
      <c r="E65" s="1955"/>
      <c r="F65" s="1955"/>
      <c r="G65" s="1955"/>
      <c r="H65" s="1955"/>
      <c r="I65" s="1956"/>
      <c r="J65" s="49">
        <f>SUM(1/J66*J64)</f>
        <v>0.39999999999999997</v>
      </c>
      <c r="K65" s="50">
        <f>SUM(1/J66*K64)</f>
        <v>0.58181818181818179</v>
      </c>
      <c r="L65" s="50">
        <f>SUM(1/J66*L64)</f>
        <v>1.8181818181818181E-2</v>
      </c>
      <c r="M65" s="50">
        <f>SUM(1/J66*M64)</f>
        <v>0</v>
      </c>
      <c r="N65" s="51">
        <f>SUM(1/J66*N64)</f>
        <v>0</v>
      </c>
    </row>
    <row r="66" spans="1:20" s="25" customFormat="1" ht="45.75" thickBot="1" x14ac:dyDescent="0.4">
      <c r="A66" s="1965"/>
      <c r="B66" s="48" t="s">
        <v>7</v>
      </c>
      <c r="C66" s="1509">
        <f>SUM(C65*10.7639)</f>
        <v>45510.84558999999</v>
      </c>
      <c r="D66" s="1510"/>
      <c r="E66" s="1510"/>
      <c r="F66" s="1510"/>
      <c r="G66" s="1510"/>
      <c r="H66" s="1510"/>
      <c r="I66" s="1511"/>
      <c r="J66" s="1957">
        <f>SUM(J64:N64)</f>
        <v>55</v>
      </c>
      <c r="K66" s="1958"/>
      <c r="L66" s="1958"/>
      <c r="M66" s="1958"/>
      <c r="N66" s="1959"/>
    </row>
    <row r="67" spans="1:20" s="25" customFormat="1" ht="15.75" thickBot="1" x14ac:dyDescent="0.4">
      <c r="P67" s="1976" t="s">
        <v>50</v>
      </c>
      <c r="Q67" s="1977"/>
      <c r="R67" s="1977"/>
      <c r="S67" s="1977"/>
      <c r="T67" s="1978"/>
    </row>
    <row r="68" spans="1:20" s="25" customFormat="1" ht="30" x14ac:dyDescent="0.35">
      <c r="P68" s="157"/>
      <c r="Q68" s="166" t="s">
        <v>51</v>
      </c>
      <c r="R68" s="166" t="s">
        <v>16</v>
      </c>
      <c r="S68" s="167" t="s">
        <v>17</v>
      </c>
      <c r="T68" s="158" t="s">
        <v>52</v>
      </c>
    </row>
    <row r="69" spans="1:20" s="25" customFormat="1" x14ac:dyDescent="0.35">
      <c r="P69" s="155" t="s">
        <v>28</v>
      </c>
      <c r="Q69" s="103">
        <f>SUM(Q42,Q7)</f>
        <v>0</v>
      </c>
      <c r="R69" s="103">
        <f>SUM(R42,R7)</f>
        <v>0</v>
      </c>
      <c r="S69" s="101">
        <f>SUM(S42,S7)</f>
        <v>22</v>
      </c>
      <c r="T69" s="71">
        <f>SUM(Q69:S69)</f>
        <v>22</v>
      </c>
    </row>
    <row r="70" spans="1:20" s="25" customFormat="1" x14ac:dyDescent="0.35">
      <c r="P70" s="155" t="s">
        <v>29</v>
      </c>
      <c r="Q70" s="103">
        <f t="shared" ref="Q70:S71" si="3">SUM(Q43,Q8)</f>
        <v>0</v>
      </c>
      <c r="R70" s="103">
        <f t="shared" si="3"/>
        <v>32</v>
      </c>
      <c r="S70" s="70">
        <f t="shared" si="3"/>
        <v>0</v>
      </c>
      <c r="T70" s="71">
        <f>SUM(Q70:S70)</f>
        <v>32</v>
      </c>
    </row>
    <row r="71" spans="1:20" s="25" customFormat="1" ht="15.75" thickBot="1" x14ac:dyDescent="0.4">
      <c r="P71" s="165" t="s">
        <v>30</v>
      </c>
      <c r="Q71" s="168">
        <f t="shared" si="3"/>
        <v>0</v>
      </c>
      <c r="R71" s="161">
        <f t="shared" si="3"/>
        <v>0</v>
      </c>
      <c r="S71" s="162">
        <f t="shared" si="3"/>
        <v>1</v>
      </c>
      <c r="T71" s="71">
        <f>SUM(Q71:S71)</f>
        <v>1</v>
      </c>
    </row>
    <row r="72" spans="1:20" s="25" customFormat="1" ht="15.75" thickBot="1" x14ac:dyDescent="0.4">
      <c r="P72" s="156" t="s">
        <v>52</v>
      </c>
      <c r="Q72" s="154">
        <f>SUM(Q69:Q71)</f>
        <v>0</v>
      </c>
      <c r="R72" s="154">
        <f>SUM(R69:R71)</f>
        <v>32</v>
      </c>
      <c r="S72" s="154">
        <f>SUM(S69:S71)</f>
        <v>23</v>
      </c>
      <c r="T72" s="153">
        <f>SUM(Q72:S72)</f>
        <v>55</v>
      </c>
    </row>
    <row r="73" spans="1:20" s="25" customFormat="1" x14ac:dyDescent="0.35"/>
    <row r="74" spans="1:20" s="25" customFormat="1" x14ac:dyDescent="0.35"/>
    <row r="75" spans="1:20" s="25" customFormat="1" x14ac:dyDescent="0.35"/>
    <row r="76" spans="1:20" s="25" customFormat="1" x14ac:dyDescent="0.35"/>
    <row r="77" spans="1:20" s="25" customFormat="1" x14ac:dyDescent="0.35"/>
    <row r="78" spans="1:20" s="25" customFormat="1" x14ac:dyDescent="0.35"/>
    <row r="79" spans="1:20" s="25" customFormat="1" x14ac:dyDescent="0.35"/>
    <row r="80" spans="1:20" s="25" customFormat="1" x14ac:dyDescent="0.35"/>
    <row r="81" s="25" customFormat="1" x14ac:dyDescent="0.35"/>
    <row r="82" s="25" customFormat="1" x14ac:dyDescent="0.35"/>
    <row r="83" s="25" customFormat="1" x14ac:dyDescent="0.35"/>
    <row r="84" s="25" customFormat="1" x14ac:dyDescent="0.35"/>
    <row r="85" s="25" customFormat="1" x14ac:dyDescent="0.35"/>
    <row r="86" s="25" customFormat="1" x14ac:dyDescent="0.35"/>
    <row r="87" s="25" customFormat="1" x14ac:dyDescent="0.35"/>
    <row r="88" s="25" customFormat="1" x14ac:dyDescent="0.35"/>
    <row r="89" s="25" customFormat="1" x14ac:dyDescent="0.35"/>
    <row r="90" s="25" customFormat="1" x14ac:dyDescent="0.35"/>
    <row r="91" s="25" customFormat="1" x14ac:dyDescent="0.35"/>
    <row r="92" s="25" customFormat="1" x14ac:dyDescent="0.35"/>
  </sheetData>
  <mergeCells count="19">
    <mergeCell ref="A1:A2"/>
    <mergeCell ref="B1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N4"/>
    <mergeCell ref="J66:N66"/>
    <mergeCell ref="P67:T67"/>
    <mergeCell ref="P40:T40"/>
    <mergeCell ref="A64:A66"/>
    <mergeCell ref="P5:T5"/>
    <mergeCell ref="C65:I65"/>
    <mergeCell ref="C66:I66"/>
  </mergeCells>
  <pageMargins left="0.7" right="0.7" top="0.75" bottom="0.75" header="0.3" footer="0.3"/>
  <pageSetup paperSize="8" scale="69" fitToHeight="0"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DFC4-85BF-4648-A50D-BA0D09C85E49}">
  <sheetPr>
    <pageSetUpPr fitToPage="1"/>
  </sheetPr>
  <dimension ref="A1:T111"/>
  <sheetViews>
    <sheetView workbookViewId="0">
      <selection activeCell="I25" sqref="I25"/>
    </sheetView>
  </sheetViews>
  <sheetFormatPr defaultRowHeight="15" x14ac:dyDescent="0.25"/>
  <cols>
    <col min="1" max="1" width="14.85546875" customWidth="1"/>
    <col min="2" max="2" width="10" customWidth="1"/>
    <col min="6" max="6" width="11.140625" customWidth="1"/>
    <col min="16" max="16" width="5" bestFit="1" customWidth="1"/>
    <col min="17" max="17" width="9.85546875" bestFit="1" customWidth="1"/>
  </cols>
  <sheetData>
    <row r="1" spans="1:20" x14ac:dyDescent="0.25">
      <c r="A1" s="1730"/>
      <c r="B1" s="1966" t="s">
        <v>37</v>
      </c>
      <c r="C1" s="1302"/>
      <c r="D1" s="1302"/>
      <c r="E1" s="1302"/>
      <c r="F1" s="1302"/>
      <c r="G1" s="1302"/>
      <c r="H1" s="1302"/>
      <c r="I1" s="1302"/>
      <c r="J1" s="1302"/>
      <c r="K1" s="1302"/>
      <c r="L1" s="1302"/>
      <c r="M1" s="1302"/>
      <c r="N1" s="1303"/>
    </row>
    <row r="2" spans="1:20" ht="15.75" thickBot="1" x14ac:dyDescent="0.3">
      <c r="A2" s="1731"/>
      <c r="B2" s="1967"/>
      <c r="C2" s="1305"/>
      <c r="D2" s="1305"/>
      <c r="E2" s="1305"/>
      <c r="F2" s="1305"/>
      <c r="G2" s="1305"/>
      <c r="H2" s="1305"/>
      <c r="I2" s="1305"/>
      <c r="J2" s="1305"/>
      <c r="K2" s="1305"/>
      <c r="L2" s="1305"/>
      <c r="M2" s="1305"/>
      <c r="N2" s="1306"/>
    </row>
    <row r="3" spans="1:20" x14ac:dyDescent="0.25">
      <c r="A3" s="1731"/>
      <c r="B3" s="1968" t="s">
        <v>0</v>
      </c>
      <c r="C3" s="1407" t="s">
        <v>4</v>
      </c>
      <c r="D3" s="1974" t="s">
        <v>18</v>
      </c>
      <c r="E3" s="1415" t="s">
        <v>15</v>
      </c>
      <c r="F3" s="1415" t="s">
        <v>3</v>
      </c>
      <c r="G3" s="1415" t="s">
        <v>16</v>
      </c>
      <c r="H3" s="1417" t="s">
        <v>17</v>
      </c>
      <c r="I3" s="1970" t="s">
        <v>1</v>
      </c>
      <c r="J3" s="1972" t="s">
        <v>2</v>
      </c>
      <c r="K3" s="1409"/>
      <c r="L3" s="1409"/>
      <c r="M3" s="1409"/>
      <c r="N3" s="1410"/>
    </row>
    <row r="4" spans="1:20" ht="15.75" thickBot="1" x14ac:dyDescent="0.3">
      <c r="A4" s="1732"/>
      <c r="B4" s="1969"/>
      <c r="C4" s="1408"/>
      <c r="D4" s="1975"/>
      <c r="E4" s="1416"/>
      <c r="F4" s="1416"/>
      <c r="G4" s="1416"/>
      <c r="H4" s="1418"/>
      <c r="I4" s="1971"/>
      <c r="J4" s="1973"/>
      <c r="K4" s="1411"/>
      <c r="L4" s="1411"/>
      <c r="M4" s="1411"/>
      <c r="N4" s="1412"/>
    </row>
    <row r="5" spans="1:20" ht="15.75" thickTop="1" x14ac:dyDescent="0.25">
      <c r="A5" s="53" t="s">
        <v>48</v>
      </c>
      <c r="B5" s="52"/>
      <c r="C5" s="61"/>
      <c r="D5" s="63"/>
      <c r="E5" s="62"/>
      <c r="F5" s="60"/>
      <c r="G5" s="60"/>
      <c r="H5" s="59"/>
      <c r="I5" s="54"/>
      <c r="J5" s="55">
        <v>1</v>
      </c>
      <c r="K5" s="56">
        <v>2</v>
      </c>
      <c r="L5" s="56">
        <v>3</v>
      </c>
      <c r="M5" s="58">
        <v>4</v>
      </c>
      <c r="N5" s="57">
        <v>5</v>
      </c>
      <c r="P5" s="1960" t="s">
        <v>58</v>
      </c>
      <c r="Q5" s="1961"/>
      <c r="R5" s="1961"/>
      <c r="S5" s="1961"/>
      <c r="T5" s="1962"/>
    </row>
    <row r="6" spans="1:20" s="103" customFormat="1" x14ac:dyDescent="0.25">
      <c r="A6" s="87">
        <v>1</v>
      </c>
      <c r="B6" s="66">
        <f>'Plot By Plot SoA'!B88</f>
        <v>75</v>
      </c>
      <c r="C6" s="103">
        <f>'Plot By Plot SoA'!C88</f>
        <v>54.1</v>
      </c>
      <c r="D6" s="91">
        <f>'Plot By Plot SoA'!D88</f>
        <v>582.32699000000002</v>
      </c>
      <c r="E6" s="100"/>
      <c r="F6" s="73"/>
      <c r="G6" s="73"/>
      <c r="H6" s="170">
        <f>'Plot By Plot SoA'!I88</f>
        <v>0</v>
      </c>
      <c r="I6" s="90"/>
      <c r="J6" s="72" t="str">
        <f>'Plot By Plot SoA'!K88</f>
        <v>Y</v>
      </c>
      <c r="K6" s="73"/>
      <c r="L6" s="73"/>
      <c r="M6" s="73"/>
      <c r="N6" s="71"/>
      <c r="P6" s="164"/>
      <c r="Q6" s="159" t="s">
        <v>54</v>
      </c>
      <c r="R6" s="159" t="s">
        <v>55</v>
      </c>
      <c r="S6" s="160" t="s">
        <v>56</v>
      </c>
      <c r="T6" s="163" t="s">
        <v>52</v>
      </c>
    </row>
    <row r="7" spans="1:20" s="103" customFormat="1" x14ac:dyDescent="0.25">
      <c r="A7" s="65">
        <v>2</v>
      </c>
      <c r="B7" s="75">
        <f>'Plot By Plot SoA'!B89</f>
        <v>76</v>
      </c>
      <c r="C7" s="103">
        <f>'Plot By Plot SoA'!C89</f>
        <v>93.3</v>
      </c>
      <c r="D7" s="102">
        <f>'Plot By Plot SoA'!D89</f>
        <v>1004.2718699999999</v>
      </c>
      <c r="E7" s="67"/>
      <c r="F7" s="74"/>
      <c r="G7" s="74"/>
      <c r="H7" s="77">
        <f>'Plot By Plot SoA'!I89</f>
        <v>0</v>
      </c>
      <c r="I7" s="71"/>
      <c r="J7" s="76">
        <f>'Plot By Plot SoA'!K89</f>
        <v>0</v>
      </c>
      <c r="K7" s="74"/>
      <c r="L7" s="74"/>
      <c r="M7" s="74"/>
      <c r="N7" s="71"/>
      <c r="P7" s="155" t="s">
        <v>28</v>
      </c>
      <c r="Q7" s="103">
        <v>0</v>
      </c>
      <c r="R7" s="103">
        <v>0</v>
      </c>
      <c r="S7" s="70">
        <v>5</v>
      </c>
      <c r="T7" s="71">
        <f>SUM(Q7:S7)</f>
        <v>5</v>
      </c>
    </row>
    <row r="8" spans="1:20" s="103" customFormat="1" x14ac:dyDescent="0.25">
      <c r="A8" s="65">
        <v>3</v>
      </c>
      <c r="B8" s="75">
        <f>'Plot By Plot SoA'!B90</f>
        <v>77</v>
      </c>
      <c r="C8" s="103">
        <f>'Plot By Plot SoA'!C90</f>
        <v>72.7</v>
      </c>
      <c r="D8" s="102">
        <f>'Plot By Plot SoA'!D90</f>
        <v>782.53552999999999</v>
      </c>
      <c r="E8" s="67"/>
      <c r="F8" s="74"/>
      <c r="G8" s="74"/>
      <c r="H8" s="77">
        <f>'Plot By Plot SoA'!I90</f>
        <v>0</v>
      </c>
      <c r="I8" s="71"/>
      <c r="J8" s="76"/>
      <c r="K8" s="74" t="str">
        <f>'Plot By Plot SoA'!L90</f>
        <v>Y</v>
      </c>
      <c r="L8" s="74"/>
      <c r="M8" s="74"/>
      <c r="N8" s="71"/>
      <c r="P8" s="155" t="s">
        <v>29</v>
      </c>
      <c r="Q8" s="103">
        <v>0</v>
      </c>
      <c r="R8" s="103">
        <v>0</v>
      </c>
      <c r="S8" s="70">
        <v>3</v>
      </c>
      <c r="T8" s="71">
        <f>SUM(Q8:S8)</f>
        <v>3</v>
      </c>
    </row>
    <row r="9" spans="1:20" s="103" customFormat="1" ht="15.75" thickBot="1" x14ac:dyDescent="0.3">
      <c r="A9" s="65">
        <v>4</v>
      </c>
      <c r="B9" s="75">
        <f>'Plot By Plot SoA'!B91</f>
        <v>78</v>
      </c>
      <c r="C9" s="103">
        <f>'Plot By Plot SoA'!C91</f>
        <v>78.599999999999994</v>
      </c>
      <c r="D9" s="102">
        <f>'Plot By Plot SoA'!D91</f>
        <v>846.04253999999992</v>
      </c>
      <c r="E9" s="67"/>
      <c r="F9" s="74"/>
      <c r="G9" s="74"/>
      <c r="H9" s="77">
        <f>'Plot By Plot SoA'!I91</f>
        <v>0</v>
      </c>
      <c r="I9" s="71"/>
      <c r="J9" s="76">
        <f>'Plot By Plot SoA'!K91</f>
        <v>0</v>
      </c>
      <c r="K9" s="74"/>
      <c r="L9" s="74"/>
      <c r="M9" s="74"/>
      <c r="N9" s="71"/>
      <c r="P9" s="165" t="s">
        <v>30</v>
      </c>
      <c r="Q9" s="161">
        <v>0</v>
      </c>
      <c r="R9" s="161">
        <v>0</v>
      </c>
      <c r="S9" s="162">
        <v>0</v>
      </c>
      <c r="T9" s="71">
        <f>SUM(Q9:S9)</f>
        <v>0</v>
      </c>
    </row>
    <row r="10" spans="1:20" s="103" customFormat="1" ht="15.75" thickBot="1" x14ac:dyDescent="0.3">
      <c r="A10" s="65">
        <v>5</v>
      </c>
      <c r="B10" s="75">
        <f>'Plot By Plot SoA'!B92</f>
        <v>79</v>
      </c>
      <c r="C10" s="103">
        <f>'Plot By Plot SoA'!C92</f>
        <v>84.7</v>
      </c>
      <c r="D10" s="102">
        <f>'Plot By Plot SoA'!D92</f>
        <v>911.70232999999996</v>
      </c>
      <c r="E10" s="67"/>
      <c r="F10" s="74"/>
      <c r="G10" s="74"/>
      <c r="H10" s="77">
        <f>'Plot By Plot SoA'!I92</f>
        <v>0</v>
      </c>
      <c r="I10" s="71"/>
      <c r="J10" s="76"/>
      <c r="K10" s="74">
        <f>'Plot By Plot SoA'!L92</f>
        <v>0</v>
      </c>
      <c r="L10" s="74"/>
      <c r="M10" s="74"/>
      <c r="N10" s="71"/>
      <c r="P10" s="156" t="s">
        <v>52</v>
      </c>
      <c r="Q10" s="154">
        <f>SUM(Q7:Q9)</f>
        <v>0</v>
      </c>
      <c r="R10" s="154">
        <f>SUM(R7:R9)</f>
        <v>0</v>
      </c>
      <c r="S10" s="154">
        <f>SUM(S7:S9)</f>
        <v>8</v>
      </c>
      <c r="T10" s="153">
        <f>SUM(Q10:S10)</f>
        <v>8</v>
      </c>
    </row>
    <row r="11" spans="1:20" s="103" customFormat="1" x14ac:dyDescent="0.25">
      <c r="A11" s="65">
        <v>6</v>
      </c>
      <c r="B11" s="75">
        <f>'Plot By Plot SoA'!B93</f>
        <v>80</v>
      </c>
      <c r="C11" s="103">
        <f>'Plot By Plot SoA'!C93</f>
        <v>84.7</v>
      </c>
      <c r="D11" s="102">
        <f>'Plot By Plot SoA'!D93</f>
        <v>911.70232999999996</v>
      </c>
      <c r="E11" s="67"/>
      <c r="F11" s="74"/>
      <c r="G11" s="74"/>
      <c r="H11" s="77">
        <f>'Plot By Plot SoA'!I93</f>
        <v>0</v>
      </c>
      <c r="I11" s="71"/>
      <c r="J11" s="76">
        <f>'Plot By Plot SoA'!K93</f>
        <v>0</v>
      </c>
      <c r="K11" s="74"/>
      <c r="L11" s="74"/>
      <c r="M11" s="74"/>
      <c r="N11" s="71"/>
    </row>
    <row r="12" spans="1:20" s="103" customFormat="1" x14ac:dyDescent="0.25">
      <c r="A12" s="65">
        <v>7</v>
      </c>
      <c r="B12" s="75">
        <f>'Plot By Plot SoA'!B94</f>
        <v>81</v>
      </c>
      <c r="C12" s="103">
        <f>'Plot By Plot SoA'!C94</f>
        <v>49.3</v>
      </c>
      <c r="D12" s="102">
        <f>'Plot By Plot SoA'!D94</f>
        <v>530.66026999999997</v>
      </c>
      <c r="E12" s="67"/>
      <c r="F12" s="74"/>
      <c r="G12" s="74"/>
      <c r="H12" s="77">
        <f>'Plot By Plot SoA'!I94</f>
        <v>0</v>
      </c>
      <c r="I12" s="71"/>
      <c r="J12" s="76"/>
      <c r="K12" s="74">
        <f>'Plot By Plot SoA'!L94</f>
        <v>0</v>
      </c>
      <c r="L12" s="74"/>
      <c r="M12" s="74"/>
      <c r="N12" s="71"/>
    </row>
    <row r="13" spans="1:20" s="103" customFormat="1" ht="15.75" thickBot="1" x14ac:dyDescent="0.3">
      <c r="A13" s="78">
        <v>8</v>
      </c>
      <c r="B13" s="79" t="e">
        <f>'Plot By Plot SoA'!#REF!</f>
        <v>#REF!</v>
      </c>
      <c r="C13" s="103" t="e">
        <f>'Plot By Plot SoA'!#REF!</f>
        <v>#REF!</v>
      </c>
      <c r="D13" s="104" t="e">
        <f>'Plot By Plot SoA'!#REF!</f>
        <v>#REF!</v>
      </c>
      <c r="E13" s="80"/>
      <c r="F13" s="86"/>
      <c r="G13" s="86"/>
      <c r="H13" s="81" t="e">
        <f>'Plot By Plot SoA'!#REF!</f>
        <v>#REF!</v>
      </c>
      <c r="I13" s="84"/>
      <c r="J13" s="85" t="e">
        <f>'Plot By Plot SoA'!#REF!</f>
        <v>#REF!</v>
      </c>
      <c r="K13" s="86"/>
      <c r="L13" s="86"/>
      <c r="M13" s="86"/>
      <c r="N13" s="71"/>
    </row>
    <row r="14" spans="1:20" s="103" customFormat="1" ht="39" customHeight="1" thickBot="1" x14ac:dyDescent="0.3">
      <c r="A14" s="137" t="s">
        <v>47</v>
      </c>
      <c r="B14" s="169">
        <f>COUNTA(B6:B13)</f>
        <v>8</v>
      </c>
      <c r="C14" s="123" t="e">
        <f>SUM(C6:C13)</f>
        <v>#REF!</v>
      </c>
      <c r="D14" s="108" t="e">
        <f>SUM(C14*10.7639)</f>
        <v>#REF!</v>
      </c>
      <c r="E14" s="105">
        <f>COUNTA(E6:E13)</f>
        <v>0</v>
      </c>
      <c r="F14" s="105">
        <f t="shared" ref="F14:N14" si="0">COUNTA(F6:F13)</f>
        <v>0</v>
      </c>
      <c r="G14" s="105">
        <f t="shared" si="0"/>
        <v>0</v>
      </c>
      <c r="H14" s="105">
        <f t="shared" si="0"/>
        <v>8</v>
      </c>
      <c r="I14" s="105">
        <f t="shared" si="0"/>
        <v>0</v>
      </c>
      <c r="J14" s="105">
        <f t="shared" si="0"/>
        <v>5</v>
      </c>
      <c r="K14" s="105">
        <f t="shared" si="0"/>
        <v>3</v>
      </c>
      <c r="L14" s="105">
        <f t="shared" si="0"/>
        <v>0</v>
      </c>
      <c r="M14" s="105">
        <f t="shared" si="0"/>
        <v>0</v>
      </c>
      <c r="N14" s="106">
        <f t="shared" si="0"/>
        <v>0</v>
      </c>
    </row>
    <row r="15" spans="1:20" s="103" customFormat="1" ht="15.75" thickTop="1" x14ac:dyDescent="0.25">
      <c r="A15" s="53" t="s">
        <v>46</v>
      </c>
      <c r="B15" s="21"/>
      <c r="C15" s="146"/>
      <c r="D15" s="147"/>
      <c r="E15" s="148"/>
      <c r="F15" s="149"/>
      <c r="G15" s="149"/>
      <c r="H15" s="150"/>
      <c r="I15" s="1"/>
      <c r="J15" s="3">
        <v>1</v>
      </c>
      <c r="K15" s="4">
        <v>2</v>
      </c>
      <c r="L15" s="4">
        <v>3</v>
      </c>
      <c r="M15" s="151">
        <v>4</v>
      </c>
      <c r="N15" s="5">
        <v>5</v>
      </c>
      <c r="P15" s="1960" t="s">
        <v>59</v>
      </c>
      <c r="Q15" s="1961"/>
      <c r="R15" s="1961"/>
      <c r="S15" s="1961"/>
      <c r="T15" s="1962"/>
    </row>
    <row r="16" spans="1:20" s="103" customFormat="1" x14ac:dyDescent="0.25">
      <c r="A16" s="87">
        <v>9</v>
      </c>
      <c r="B16" s="75">
        <f>'Plot By Plot SoA'!B98</f>
        <v>85</v>
      </c>
      <c r="C16" s="69">
        <f>'Plot By Plot SoA'!C98</f>
        <v>78</v>
      </c>
      <c r="D16" s="102">
        <f>'Plot By Plot SoA'!D98</f>
        <v>839.58420000000001</v>
      </c>
      <c r="E16" s="67"/>
      <c r="F16" s="74"/>
      <c r="G16" s="74"/>
      <c r="H16" s="70">
        <f>'Plot By Plot SoA'!I98</f>
        <v>0</v>
      </c>
      <c r="I16" s="71"/>
      <c r="J16" s="76">
        <f>'Plot By Plot SoA'!K98</f>
        <v>0</v>
      </c>
      <c r="K16" s="69"/>
      <c r="L16" s="69"/>
      <c r="M16" s="69"/>
      <c r="N16" s="71"/>
      <c r="P16" s="164"/>
      <c r="Q16" s="159" t="s">
        <v>54</v>
      </c>
      <c r="R16" s="159" t="s">
        <v>55</v>
      </c>
      <c r="S16" s="160" t="s">
        <v>56</v>
      </c>
      <c r="T16" s="163" t="s">
        <v>52</v>
      </c>
    </row>
    <row r="17" spans="1:20" s="103" customFormat="1" x14ac:dyDescent="0.25">
      <c r="A17" s="65">
        <v>10</v>
      </c>
      <c r="B17" s="75">
        <f>'Plot By Plot SoA'!B99</f>
        <v>86</v>
      </c>
      <c r="C17" s="69">
        <f>'Plot By Plot SoA'!C99</f>
        <v>78</v>
      </c>
      <c r="D17" s="102">
        <f>'Plot By Plot SoA'!D99</f>
        <v>839.58420000000001</v>
      </c>
      <c r="E17" s="67"/>
      <c r="F17" s="74"/>
      <c r="G17" s="74"/>
      <c r="H17" s="70">
        <f>'Plot By Plot SoA'!I99</f>
        <v>0</v>
      </c>
      <c r="I17" s="71"/>
      <c r="J17" s="76">
        <f>'Plot By Plot SoA'!K99</f>
        <v>0</v>
      </c>
      <c r="K17" s="69"/>
      <c r="L17" s="69"/>
      <c r="M17" s="69"/>
      <c r="N17" s="71"/>
      <c r="P17" s="155" t="s">
        <v>28</v>
      </c>
      <c r="Q17" s="103">
        <v>0</v>
      </c>
      <c r="R17" s="103">
        <v>0</v>
      </c>
      <c r="S17" s="70">
        <v>12</v>
      </c>
      <c r="T17" s="71">
        <f>SUM(Q17:S17)</f>
        <v>12</v>
      </c>
    </row>
    <row r="18" spans="1:20" s="103" customFormat="1" x14ac:dyDescent="0.25">
      <c r="A18" s="65">
        <v>11</v>
      </c>
      <c r="B18" s="75">
        <f>'Plot By Plot SoA'!B100</f>
        <v>87</v>
      </c>
      <c r="C18" s="69">
        <f>'Plot By Plot SoA'!C100</f>
        <v>99.1</v>
      </c>
      <c r="D18" s="102">
        <f>'Plot By Plot SoA'!D100</f>
        <v>1066.7024899999999</v>
      </c>
      <c r="E18" s="67"/>
      <c r="F18" s="74"/>
      <c r="G18" s="74"/>
      <c r="H18" s="70">
        <f>'Plot By Plot SoA'!I100</f>
        <v>0</v>
      </c>
      <c r="I18" s="71"/>
      <c r="J18" s="76">
        <f>'Plot By Plot SoA'!K100</f>
        <v>0</v>
      </c>
      <c r="K18" s="69"/>
      <c r="L18" s="69"/>
      <c r="M18" s="69"/>
      <c r="N18" s="71"/>
      <c r="P18" s="155" t="s">
        <v>29</v>
      </c>
      <c r="Q18" s="103">
        <v>2</v>
      </c>
      <c r="R18" s="103">
        <v>21</v>
      </c>
      <c r="S18" s="70">
        <v>0</v>
      </c>
      <c r="T18" s="71">
        <f>SUM(Q18:S18)</f>
        <v>23</v>
      </c>
    </row>
    <row r="19" spans="1:20" s="103" customFormat="1" ht="15.75" thickBot="1" x14ac:dyDescent="0.3">
      <c r="A19" s="65">
        <v>12</v>
      </c>
      <c r="B19" s="75">
        <f>'Plot By Plot SoA'!B102</f>
        <v>88</v>
      </c>
      <c r="C19" s="69">
        <f>'Plot By Plot SoA'!C102</f>
        <v>131.4</v>
      </c>
      <c r="D19" s="102">
        <f>'Plot By Plot SoA'!D102</f>
        <v>1414.37646</v>
      </c>
      <c r="E19" s="67"/>
      <c r="F19" s="74"/>
      <c r="G19" s="74"/>
      <c r="H19" s="70">
        <f>'Plot By Plot SoA'!I102</f>
        <v>0</v>
      </c>
      <c r="I19" s="71"/>
      <c r="J19" s="76">
        <f>'Plot By Plot SoA'!K102</f>
        <v>0</v>
      </c>
      <c r="K19" s="69"/>
      <c r="L19" s="69"/>
      <c r="M19" s="69"/>
      <c r="N19" s="71"/>
      <c r="P19" s="165" t="s">
        <v>30</v>
      </c>
      <c r="Q19" s="161">
        <v>0</v>
      </c>
      <c r="R19" s="161">
        <v>0</v>
      </c>
      <c r="S19" s="162">
        <v>0</v>
      </c>
      <c r="T19" s="71">
        <f>SUM(Q19:S19)</f>
        <v>0</v>
      </c>
    </row>
    <row r="20" spans="1:20" s="103" customFormat="1" ht="15.75" thickBot="1" x14ac:dyDescent="0.3">
      <c r="A20" s="65">
        <v>13</v>
      </c>
      <c r="B20" s="75">
        <f>'Plot By Plot SoA'!B104</f>
        <v>89</v>
      </c>
      <c r="C20" s="69">
        <f>'Plot By Plot SoA'!C104</f>
        <v>131.4</v>
      </c>
      <c r="D20" s="102">
        <f>'Plot By Plot SoA'!D104</f>
        <v>1414.37646</v>
      </c>
      <c r="E20" s="67"/>
      <c r="F20" s="74"/>
      <c r="G20" s="74"/>
      <c r="H20" s="70">
        <f>'Plot By Plot SoA'!I104</f>
        <v>0</v>
      </c>
      <c r="I20" s="71"/>
      <c r="J20" s="76">
        <f>'Plot By Plot SoA'!K104</f>
        <v>0</v>
      </c>
      <c r="K20" s="69"/>
      <c r="L20" s="69"/>
      <c r="M20" s="74"/>
      <c r="N20" s="71"/>
      <c r="P20" s="156" t="s">
        <v>52</v>
      </c>
      <c r="Q20" s="154">
        <f>SUM(Q17:Q19)</f>
        <v>2</v>
      </c>
      <c r="R20" s="154">
        <f>SUM(R17:R19)</f>
        <v>21</v>
      </c>
      <c r="S20" s="154">
        <f>SUM(S17:S19)</f>
        <v>12</v>
      </c>
      <c r="T20" s="153">
        <f>SUM(Q20:S20)</f>
        <v>35</v>
      </c>
    </row>
    <row r="21" spans="1:20" s="103" customFormat="1" x14ac:dyDescent="0.25">
      <c r="A21" s="65">
        <v>14</v>
      </c>
      <c r="B21" s="75">
        <f>'Plot By Plot SoA'!B105</f>
        <v>90</v>
      </c>
      <c r="C21" s="69">
        <f>'Plot By Plot SoA'!C105</f>
        <v>77.099999999999994</v>
      </c>
      <c r="D21" s="102">
        <f>'Plot By Plot SoA'!D105</f>
        <v>829.89668999999992</v>
      </c>
      <c r="E21" s="67"/>
      <c r="F21" s="74"/>
      <c r="G21" s="74"/>
      <c r="H21" s="70">
        <f>'Plot By Plot SoA'!I105</f>
        <v>0</v>
      </c>
      <c r="I21" s="71"/>
      <c r="J21" s="76">
        <f>'Plot By Plot SoA'!K105</f>
        <v>0</v>
      </c>
      <c r="K21" s="69"/>
      <c r="L21" s="74"/>
      <c r="M21" s="74"/>
      <c r="N21" s="71"/>
    </row>
    <row r="22" spans="1:20" s="103" customFormat="1" x14ac:dyDescent="0.25">
      <c r="A22" s="65">
        <v>15</v>
      </c>
      <c r="B22" s="75">
        <f>'Plot By Plot SoA'!B106</f>
        <v>91</v>
      </c>
      <c r="C22" s="69">
        <f>'Plot By Plot SoA'!C106</f>
        <v>70</v>
      </c>
      <c r="D22" s="102">
        <f>'Plot By Plot SoA'!D106</f>
        <v>753.47299999999996</v>
      </c>
      <c r="E22" s="67"/>
      <c r="F22" s="74"/>
      <c r="G22" s="74"/>
      <c r="H22" s="70">
        <f>'Plot By Plot SoA'!I106</f>
        <v>0</v>
      </c>
      <c r="I22" s="71"/>
      <c r="J22" s="76">
        <f>'Plot By Plot SoA'!K106</f>
        <v>0</v>
      </c>
      <c r="K22" s="74"/>
      <c r="L22" s="74"/>
      <c r="M22" s="74"/>
      <c r="N22" s="71"/>
    </row>
    <row r="23" spans="1:20" s="103" customFormat="1" x14ac:dyDescent="0.25">
      <c r="A23" s="65">
        <v>16</v>
      </c>
      <c r="B23" s="75">
        <f>'Plot By Plot SoA'!B107</f>
        <v>92</v>
      </c>
      <c r="C23" s="69">
        <f>'Plot By Plot SoA'!C107</f>
        <v>70</v>
      </c>
      <c r="D23" s="102">
        <f>'Plot By Plot SoA'!D107</f>
        <v>753.47299999999996</v>
      </c>
      <c r="E23" s="67"/>
      <c r="F23" s="69"/>
      <c r="G23" s="74"/>
      <c r="H23" s="70">
        <f>'Plot By Plot SoA'!I107</f>
        <v>0</v>
      </c>
      <c r="I23" s="71"/>
      <c r="J23" s="76">
        <f>'Plot By Plot SoA'!K107</f>
        <v>0</v>
      </c>
      <c r="K23" s="74"/>
      <c r="L23" s="74"/>
      <c r="M23" s="74"/>
      <c r="N23" s="71"/>
    </row>
    <row r="24" spans="1:20" s="103" customFormat="1" x14ac:dyDescent="0.25">
      <c r="A24" s="65">
        <v>17</v>
      </c>
      <c r="B24" s="75">
        <f>'Plot By Plot SoA'!B108</f>
        <v>93</v>
      </c>
      <c r="C24" s="69">
        <f>'Plot By Plot SoA'!C108</f>
        <v>76.599999999999994</v>
      </c>
      <c r="D24" s="102">
        <f>'Plot By Plot SoA'!D108</f>
        <v>824.51473999999996</v>
      </c>
      <c r="E24" s="67"/>
      <c r="F24" s="69"/>
      <c r="G24" s="74"/>
      <c r="H24" s="70">
        <f>'Plot By Plot SoA'!I108</f>
        <v>0</v>
      </c>
      <c r="I24" s="71"/>
      <c r="J24" s="76">
        <f>'Plot By Plot SoA'!K108</f>
        <v>0</v>
      </c>
      <c r="K24" s="74"/>
      <c r="L24" s="74"/>
      <c r="M24" s="74"/>
      <c r="N24" s="71"/>
    </row>
    <row r="25" spans="1:20" s="103" customFormat="1" x14ac:dyDescent="0.25">
      <c r="A25" s="65">
        <v>18</v>
      </c>
      <c r="B25" s="75">
        <f>'Plot By Plot SoA'!B111</f>
        <v>95</v>
      </c>
      <c r="C25" s="69">
        <f>'Plot By Plot SoA'!C111</f>
        <v>80.3</v>
      </c>
      <c r="D25" s="102">
        <f>'Plot By Plot SoA'!D111</f>
        <v>864.34116999999992</v>
      </c>
      <c r="E25" s="67"/>
      <c r="F25" s="69"/>
      <c r="G25" s="74"/>
      <c r="H25" s="70">
        <f>'Plot By Plot SoA'!I111</f>
        <v>0</v>
      </c>
      <c r="I25" s="71"/>
      <c r="J25" s="76">
        <f>'Plot By Plot SoA'!K111</f>
        <v>0</v>
      </c>
      <c r="K25" s="74"/>
      <c r="L25" s="74"/>
      <c r="M25" s="74"/>
      <c r="N25" s="71"/>
    </row>
    <row r="26" spans="1:20" s="103" customFormat="1" x14ac:dyDescent="0.25">
      <c r="A26" s="65">
        <v>19</v>
      </c>
      <c r="B26" s="75">
        <f>'Plot By Plot SoA'!B112</f>
        <v>96</v>
      </c>
      <c r="C26" s="69">
        <f>'Plot By Plot SoA'!C112</f>
        <v>81</v>
      </c>
      <c r="D26" s="102">
        <f>'Plot By Plot SoA'!D112</f>
        <v>871.8759</v>
      </c>
      <c r="E26" s="67"/>
      <c r="F26" s="69"/>
      <c r="G26" s="74">
        <f>'Plot By Plot SoA'!H112</f>
        <v>0</v>
      </c>
      <c r="H26" s="70"/>
      <c r="I26" s="71"/>
      <c r="J26" s="76"/>
      <c r="K26" s="74">
        <f>'Plot By Plot SoA'!L112</f>
        <v>0</v>
      </c>
      <c r="L26" s="74"/>
      <c r="M26" s="74"/>
      <c r="N26" s="71"/>
    </row>
    <row r="27" spans="1:20" s="103" customFormat="1" x14ac:dyDescent="0.25">
      <c r="A27" s="65">
        <v>20</v>
      </c>
      <c r="B27" s="75">
        <f>'Plot By Plot SoA'!B117</f>
        <v>98</v>
      </c>
      <c r="C27" s="69">
        <f>'Plot By Plot SoA'!C117</f>
        <v>179.6</v>
      </c>
      <c r="D27" s="102">
        <f>'Plot By Plot SoA'!D117</f>
        <v>1933.1964399999999</v>
      </c>
      <c r="E27" s="67"/>
      <c r="F27" s="69"/>
      <c r="G27" s="74">
        <f>'Plot By Plot SoA'!H117</f>
        <v>0</v>
      </c>
      <c r="H27" s="70"/>
      <c r="I27" s="71"/>
      <c r="J27" s="76"/>
      <c r="K27" s="74">
        <f>'Plot By Plot SoA'!L117</f>
        <v>0</v>
      </c>
      <c r="L27" s="74"/>
      <c r="M27" s="74"/>
      <c r="N27" s="71"/>
    </row>
    <row r="28" spans="1:20" s="103" customFormat="1" x14ac:dyDescent="0.25">
      <c r="A28" s="65">
        <v>21</v>
      </c>
      <c r="B28" s="75">
        <f>'Plot By Plot SoA'!B121</f>
        <v>100</v>
      </c>
      <c r="C28" s="69">
        <f>'Plot By Plot SoA'!C121</f>
        <v>95</v>
      </c>
      <c r="D28" s="102">
        <f>'Plot By Plot SoA'!D121</f>
        <v>1022.5704999999999</v>
      </c>
      <c r="E28" s="67"/>
      <c r="F28" s="69"/>
      <c r="G28" s="74">
        <f>'Plot By Plot SoA'!H121</f>
        <v>0</v>
      </c>
      <c r="H28" s="70"/>
      <c r="I28" s="71"/>
      <c r="J28" s="76"/>
      <c r="K28" s="74" t="str">
        <f>'Plot By Plot SoA'!L121</f>
        <v>Y</v>
      </c>
      <c r="L28" s="74"/>
      <c r="M28" s="74"/>
      <c r="N28" s="71"/>
    </row>
    <row r="29" spans="1:20" s="103" customFormat="1" x14ac:dyDescent="0.25">
      <c r="A29" s="65">
        <v>22</v>
      </c>
      <c r="B29" s="75">
        <f>'Plot By Plot SoA'!B123</f>
        <v>102</v>
      </c>
      <c r="C29" s="69">
        <f>'Plot By Plot SoA'!C123</f>
        <v>83.1</v>
      </c>
      <c r="D29" s="102">
        <f>'Plot By Plot SoA'!D123</f>
        <v>894.4800899999999</v>
      </c>
      <c r="E29" s="67"/>
      <c r="F29" s="69"/>
      <c r="G29" s="74">
        <f>'Plot By Plot SoA'!H123</f>
        <v>0</v>
      </c>
      <c r="H29" s="70"/>
      <c r="I29" s="71"/>
      <c r="J29" s="76"/>
      <c r="K29" s="74">
        <f>'Plot By Plot SoA'!L123</f>
        <v>0</v>
      </c>
      <c r="L29" s="74"/>
      <c r="M29" s="74"/>
      <c r="N29" s="71"/>
    </row>
    <row r="30" spans="1:20" s="103" customFormat="1" x14ac:dyDescent="0.25">
      <c r="A30" s="65">
        <v>23</v>
      </c>
      <c r="B30" s="75">
        <f>'Plot By Plot SoA'!B126</f>
        <v>104</v>
      </c>
      <c r="C30" s="69">
        <f>'Plot By Plot SoA'!C126</f>
        <v>94.4</v>
      </c>
      <c r="D30" s="102">
        <f>'Plot By Plot SoA'!D126</f>
        <v>1016.11216</v>
      </c>
      <c r="E30" s="67"/>
      <c r="F30" s="69"/>
      <c r="G30" s="74">
        <f>'Plot By Plot SoA'!H126</f>
        <v>0</v>
      </c>
      <c r="H30" s="70"/>
      <c r="I30" s="71"/>
      <c r="J30" s="76"/>
      <c r="K30" s="74" t="str">
        <f>'Plot By Plot SoA'!L126</f>
        <v>Y</v>
      </c>
      <c r="L30" s="74"/>
      <c r="M30" s="74"/>
      <c r="N30" s="71"/>
    </row>
    <row r="31" spans="1:20" s="103" customFormat="1" x14ac:dyDescent="0.25">
      <c r="A31" s="65">
        <v>24</v>
      </c>
      <c r="B31" s="75">
        <f>'Plot By Plot SoA'!B129</f>
        <v>106</v>
      </c>
      <c r="C31" s="69">
        <f>'Plot By Plot SoA'!C129</f>
        <v>89.4</v>
      </c>
      <c r="D31" s="102">
        <f>'Plot By Plot SoA'!D129</f>
        <v>962.29266000000007</v>
      </c>
      <c r="E31" s="67"/>
      <c r="F31" s="69"/>
      <c r="G31" s="74">
        <f>'Plot By Plot SoA'!H129</f>
        <v>0</v>
      </c>
      <c r="H31" s="70"/>
      <c r="I31" s="71"/>
      <c r="J31" s="76"/>
      <c r="K31" s="74">
        <f>'Plot By Plot SoA'!L129</f>
        <v>0</v>
      </c>
      <c r="L31" s="74"/>
      <c r="M31" s="74"/>
      <c r="N31" s="71"/>
    </row>
    <row r="32" spans="1:20" s="103" customFormat="1" x14ac:dyDescent="0.25">
      <c r="A32" s="65">
        <v>25</v>
      </c>
      <c r="B32" s="75">
        <f>'Plot By Plot SoA'!B131</f>
        <v>108</v>
      </c>
      <c r="C32" s="69">
        <f>'Plot By Plot SoA'!C131</f>
        <v>108</v>
      </c>
      <c r="D32" s="102">
        <f>'Plot By Plot SoA'!D131</f>
        <v>1162.5011999999999</v>
      </c>
      <c r="E32" s="67"/>
      <c r="F32" s="69"/>
      <c r="G32" s="74">
        <f>'Plot By Plot SoA'!H131</f>
        <v>0</v>
      </c>
      <c r="H32" s="70"/>
      <c r="I32" s="71"/>
      <c r="J32" s="76"/>
      <c r="K32" s="74">
        <f>'Plot By Plot SoA'!L131</f>
        <v>0</v>
      </c>
      <c r="L32" s="74"/>
      <c r="M32" s="74"/>
      <c r="N32" s="71"/>
    </row>
    <row r="33" spans="1:14" s="103" customFormat="1" x14ac:dyDescent="0.25">
      <c r="A33" s="65">
        <v>26</v>
      </c>
      <c r="B33" s="75">
        <f>'Plot By Plot SoA'!B133</f>
        <v>110</v>
      </c>
      <c r="C33" s="69">
        <f>'Plot By Plot SoA'!C133</f>
        <v>72.900000000000006</v>
      </c>
      <c r="D33" s="102">
        <f>'Plot By Plot SoA'!D133</f>
        <v>784.68831</v>
      </c>
      <c r="E33" s="67"/>
      <c r="F33" s="69"/>
      <c r="G33" s="74">
        <f>'Plot By Plot SoA'!H133</f>
        <v>0</v>
      </c>
      <c r="H33" s="70"/>
      <c r="I33" s="71"/>
      <c r="J33" s="76"/>
      <c r="K33" s="74" t="str">
        <f>'Plot By Plot SoA'!L133</f>
        <v>Y</v>
      </c>
      <c r="L33" s="74"/>
      <c r="M33" s="74"/>
      <c r="N33" s="71"/>
    </row>
    <row r="34" spans="1:14" s="103" customFormat="1" x14ac:dyDescent="0.25">
      <c r="A34" s="65">
        <v>27</v>
      </c>
      <c r="B34" s="75">
        <f>'Plot By Plot SoA'!B135</f>
        <v>112</v>
      </c>
      <c r="C34" s="69">
        <f>'Plot By Plot SoA'!C135</f>
        <v>100.4</v>
      </c>
      <c r="D34" s="102">
        <f>'Plot By Plot SoA'!D135</f>
        <v>1080.6955600000001</v>
      </c>
      <c r="E34" s="67"/>
      <c r="F34" s="69"/>
      <c r="G34" s="74">
        <f>'Plot By Plot SoA'!H135</f>
        <v>0</v>
      </c>
      <c r="H34" s="70"/>
      <c r="I34" s="71"/>
      <c r="J34" s="76"/>
      <c r="K34" s="74">
        <f>'Plot By Plot SoA'!L135</f>
        <v>0</v>
      </c>
      <c r="L34" s="74"/>
      <c r="M34" s="74"/>
      <c r="N34" s="71"/>
    </row>
    <row r="35" spans="1:14" s="103" customFormat="1" x14ac:dyDescent="0.25">
      <c r="A35" s="65">
        <v>28</v>
      </c>
      <c r="B35" s="75">
        <f>'Plot By Plot SoA'!B138</f>
        <v>114</v>
      </c>
      <c r="C35" s="69">
        <f>'Plot By Plot SoA'!C138</f>
        <v>100.4</v>
      </c>
      <c r="D35" s="102">
        <f>'Plot By Plot SoA'!D138</f>
        <v>1080.6955600000001</v>
      </c>
      <c r="E35" s="67"/>
      <c r="F35" s="69"/>
      <c r="G35" s="74">
        <f>'Plot By Plot SoA'!H138</f>
        <v>0</v>
      </c>
      <c r="H35" s="70"/>
      <c r="I35" s="71"/>
      <c r="J35" s="76"/>
      <c r="K35" s="74">
        <f>'Plot By Plot SoA'!L138</f>
        <v>0</v>
      </c>
      <c r="L35" s="74"/>
      <c r="M35" s="74"/>
      <c r="N35" s="71"/>
    </row>
    <row r="36" spans="1:14" s="103" customFormat="1" x14ac:dyDescent="0.25">
      <c r="A36" s="65">
        <v>29</v>
      </c>
      <c r="B36" s="75">
        <f>'Plot By Plot SoA'!B140</f>
        <v>116</v>
      </c>
      <c r="C36" s="69">
        <f>'Plot By Plot SoA'!C140</f>
        <v>87.7</v>
      </c>
      <c r="D36" s="102">
        <f>'Plot By Plot SoA'!D140</f>
        <v>943.99402999999995</v>
      </c>
      <c r="E36" s="67"/>
      <c r="F36" s="69"/>
      <c r="G36" s="74">
        <f>'Plot By Plot SoA'!H140</f>
        <v>0</v>
      </c>
      <c r="H36" s="70"/>
      <c r="I36" s="71"/>
      <c r="J36" s="76"/>
      <c r="K36" s="74" t="str">
        <f>'Plot By Plot SoA'!L140</f>
        <v>Y</v>
      </c>
      <c r="L36" s="74"/>
      <c r="M36" s="74"/>
      <c r="N36" s="71"/>
    </row>
    <row r="37" spans="1:14" s="103" customFormat="1" x14ac:dyDescent="0.25">
      <c r="A37" s="65">
        <v>30</v>
      </c>
      <c r="B37" s="75">
        <f>'Plot By Plot SoA'!B143</f>
        <v>118</v>
      </c>
      <c r="C37" s="69">
        <f>'Plot By Plot SoA'!C143</f>
        <v>95</v>
      </c>
      <c r="D37" s="102">
        <f>'Plot By Plot SoA'!D143</f>
        <v>1022.5704999999999</v>
      </c>
      <c r="E37" s="67"/>
      <c r="F37" s="69"/>
      <c r="G37" s="74"/>
      <c r="H37" s="70">
        <f>'Plot By Plot SoA'!I143</f>
        <v>0</v>
      </c>
      <c r="I37" s="71"/>
      <c r="J37" s="76">
        <f>'Plot By Plot SoA'!K143</f>
        <v>0</v>
      </c>
      <c r="K37" s="74"/>
      <c r="L37" s="74"/>
      <c r="M37" s="74"/>
      <c r="N37" s="71"/>
    </row>
    <row r="38" spans="1:14" s="103" customFormat="1" x14ac:dyDescent="0.25">
      <c r="A38" s="65">
        <v>31</v>
      </c>
      <c r="B38" s="75">
        <f>'Plot By Plot SoA'!B144</f>
        <v>119</v>
      </c>
      <c r="C38" s="69">
        <f>'Plot By Plot SoA'!C144</f>
        <v>95</v>
      </c>
      <c r="D38" s="102">
        <f>'Plot By Plot SoA'!D144</f>
        <v>1022.5704999999999</v>
      </c>
      <c r="E38" s="67"/>
      <c r="F38" s="69"/>
      <c r="G38" s="74"/>
      <c r="H38" s="70">
        <f>'Plot By Plot SoA'!I144</f>
        <v>0</v>
      </c>
      <c r="I38" s="71"/>
      <c r="J38" s="76">
        <f>'Plot By Plot SoA'!K144</f>
        <v>0</v>
      </c>
      <c r="K38" s="74"/>
      <c r="L38" s="74"/>
      <c r="M38" s="74"/>
      <c r="N38" s="71"/>
    </row>
    <row r="39" spans="1:14" s="103" customFormat="1" x14ac:dyDescent="0.25">
      <c r="A39" s="65">
        <v>32</v>
      </c>
      <c r="B39" s="75">
        <f>'Plot By Plot SoA'!B145</f>
        <v>120</v>
      </c>
      <c r="C39" s="69">
        <f>'Plot By Plot SoA'!C145</f>
        <v>83.1</v>
      </c>
      <c r="D39" s="102">
        <f>'Plot By Plot SoA'!D145</f>
        <v>894.4800899999999</v>
      </c>
      <c r="E39" s="67"/>
      <c r="F39" s="69"/>
      <c r="G39" s="74">
        <f>'Plot By Plot SoA'!H145</f>
        <v>0</v>
      </c>
      <c r="H39" s="70"/>
      <c r="I39" s="71"/>
      <c r="J39" s="76"/>
      <c r="K39" s="74">
        <f>'Plot By Plot SoA'!L145</f>
        <v>0</v>
      </c>
      <c r="L39" s="74"/>
      <c r="M39" s="74"/>
      <c r="N39" s="71"/>
    </row>
    <row r="40" spans="1:14" s="103" customFormat="1" x14ac:dyDescent="0.25">
      <c r="A40" s="65">
        <v>33</v>
      </c>
      <c r="B40" s="75">
        <f>'Plot By Plot SoA'!B148</f>
        <v>122</v>
      </c>
      <c r="C40" s="69">
        <f>'Plot By Plot SoA'!C148</f>
        <v>77.5</v>
      </c>
      <c r="D40" s="102">
        <f>'Plot By Plot SoA'!D148</f>
        <v>834.20224999999994</v>
      </c>
      <c r="E40" s="67"/>
      <c r="F40" s="69"/>
      <c r="G40" s="74">
        <f>'Plot By Plot SoA'!H148</f>
        <v>0</v>
      </c>
      <c r="H40" s="70"/>
      <c r="I40" s="71"/>
      <c r="J40" s="76"/>
      <c r="K40" s="74" t="str">
        <f>'Plot By Plot SoA'!L148</f>
        <v>Y</v>
      </c>
      <c r="L40" s="74"/>
      <c r="M40" s="74"/>
      <c r="N40" s="71"/>
    </row>
    <row r="41" spans="1:14" s="103" customFormat="1" x14ac:dyDescent="0.25">
      <c r="A41" s="65">
        <v>34</v>
      </c>
      <c r="B41" s="75">
        <f>'Plot By Plot SoA'!B150</f>
        <v>124</v>
      </c>
      <c r="C41" s="69">
        <f>'Plot By Plot SoA'!C150</f>
        <v>99</v>
      </c>
      <c r="D41" s="102">
        <f>'Plot By Plot SoA'!D150</f>
        <v>1065.6261</v>
      </c>
      <c r="E41" s="67"/>
      <c r="F41" s="69"/>
      <c r="G41" s="74">
        <f>'Plot By Plot SoA'!H150</f>
        <v>0</v>
      </c>
      <c r="H41" s="70"/>
      <c r="I41" s="71"/>
      <c r="J41" s="76"/>
      <c r="K41" s="74" t="str">
        <f>'Plot By Plot SoA'!L150</f>
        <v>Y</v>
      </c>
      <c r="L41" s="74"/>
      <c r="M41" s="74"/>
      <c r="N41" s="71"/>
    </row>
    <row r="42" spans="1:14" s="103" customFormat="1" x14ac:dyDescent="0.25">
      <c r="A42" s="65">
        <v>35</v>
      </c>
      <c r="B42" s="75">
        <f>'Plot By Plot SoA'!B152</f>
        <v>126</v>
      </c>
      <c r="C42" s="69">
        <f>'Plot By Plot SoA'!C152</f>
        <v>75.3</v>
      </c>
      <c r="D42" s="102">
        <f>'Plot By Plot SoA'!D152</f>
        <v>810.52166999999997</v>
      </c>
      <c r="E42" s="67"/>
      <c r="F42" s="69"/>
      <c r="G42" s="74">
        <f>'Plot By Plot SoA'!H152</f>
        <v>0</v>
      </c>
      <c r="H42" s="70"/>
      <c r="I42" s="71"/>
      <c r="J42" s="76"/>
      <c r="K42" s="74" t="str">
        <f>'Plot By Plot SoA'!L152</f>
        <v>Y</v>
      </c>
      <c r="L42" s="74"/>
      <c r="M42" s="74"/>
      <c r="N42" s="71"/>
    </row>
    <row r="43" spans="1:14" s="103" customFormat="1" x14ac:dyDescent="0.25">
      <c r="A43" s="65">
        <v>36</v>
      </c>
      <c r="B43" s="75">
        <f>'Plot By Plot SoA'!B154</f>
        <v>128</v>
      </c>
      <c r="C43" s="69">
        <f>'Plot By Plot SoA'!C154</f>
        <v>70.599999999999994</v>
      </c>
      <c r="D43" s="102">
        <f>'Plot By Plot SoA'!D154</f>
        <v>759.93133999999986</v>
      </c>
      <c r="E43" s="67"/>
      <c r="F43" s="69"/>
      <c r="G43" s="74">
        <f>'Plot By Plot SoA'!H154</f>
        <v>0</v>
      </c>
      <c r="H43" s="70"/>
      <c r="I43" s="71"/>
      <c r="J43" s="76"/>
      <c r="K43" s="74" t="str">
        <f>'Plot By Plot SoA'!L154</f>
        <v>Y</v>
      </c>
      <c r="L43" s="74"/>
      <c r="M43" s="74"/>
      <c r="N43" s="71"/>
    </row>
    <row r="44" spans="1:14" s="103" customFormat="1" x14ac:dyDescent="0.25">
      <c r="A44" s="65">
        <v>37</v>
      </c>
      <c r="B44" s="75">
        <f>'Plot By Plot SoA'!B156</f>
        <v>130</v>
      </c>
      <c r="C44" s="69">
        <f>'Plot By Plot SoA'!C156</f>
        <v>108.2</v>
      </c>
      <c r="D44" s="102">
        <f>'Plot By Plot SoA'!D156</f>
        <v>1164.65398</v>
      </c>
      <c r="E44" s="67"/>
      <c r="F44" s="69"/>
      <c r="G44" s="74">
        <f>'Plot By Plot SoA'!H156</f>
        <v>0</v>
      </c>
      <c r="H44" s="70"/>
      <c r="I44" s="71"/>
      <c r="J44" s="76"/>
      <c r="K44" s="74">
        <f>'Plot By Plot SoA'!L156</f>
        <v>0</v>
      </c>
      <c r="L44" s="74"/>
      <c r="M44" s="74"/>
      <c r="N44" s="71"/>
    </row>
    <row r="45" spans="1:14" s="103" customFormat="1" x14ac:dyDescent="0.25">
      <c r="A45" s="65">
        <v>38</v>
      </c>
      <c r="B45" s="75">
        <f>'Plot By Plot SoA'!B160</f>
        <v>132</v>
      </c>
      <c r="C45" s="69">
        <f>'Plot By Plot SoA'!C160</f>
        <v>72.599999999999994</v>
      </c>
      <c r="D45" s="102">
        <f>'Plot By Plot SoA'!D160</f>
        <v>781.45913999999993</v>
      </c>
      <c r="E45" s="67"/>
      <c r="F45" s="69"/>
      <c r="G45" s="74">
        <f>'Plot By Plot SoA'!H160</f>
        <v>0</v>
      </c>
      <c r="H45" s="70"/>
      <c r="I45" s="71"/>
      <c r="J45" s="76"/>
      <c r="K45" s="74" t="str">
        <f>'Plot By Plot SoA'!L160</f>
        <v>Y</v>
      </c>
      <c r="L45" s="74"/>
      <c r="M45" s="74"/>
      <c r="N45" s="71"/>
    </row>
    <row r="46" spans="1:14" s="103" customFormat="1" x14ac:dyDescent="0.25">
      <c r="A46" s="65">
        <v>39</v>
      </c>
      <c r="B46" s="75">
        <f>'Plot By Plot SoA'!B163</f>
        <v>134</v>
      </c>
      <c r="C46" s="69">
        <f>'Plot By Plot SoA'!C163</f>
        <v>97.1</v>
      </c>
      <c r="D46" s="102">
        <f>'Plot By Plot SoA'!D163</f>
        <v>1045.1746899999998</v>
      </c>
      <c r="E46" s="67"/>
      <c r="F46" s="69"/>
      <c r="G46" s="74">
        <f>'Plot By Plot SoA'!H163</f>
        <v>0</v>
      </c>
      <c r="H46" s="70"/>
      <c r="I46" s="71"/>
      <c r="J46" s="76"/>
      <c r="K46" s="74">
        <f>'Plot By Plot SoA'!L163</f>
        <v>0</v>
      </c>
      <c r="L46" s="74"/>
      <c r="M46" s="74"/>
      <c r="N46" s="71"/>
    </row>
    <row r="47" spans="1:14" s="103" customFormat="1" x14ac:dyDescent="0.25">
      <c r="A47" s="65">
        <v>40</v>
      </c>
      <c r="B47" s="75">
        <f>'Plot By Plot SoA'!B166</f>
        <v>136</v>
      </c>
      <c r="C47" s="69">
        <f>'Plot By Plot SoA'!C166</f>
        <v>88.5</v>
      </c>
      <c r="D47" s="102">
        <f>'Plot By Plot SoA'!D166</f>
        <v>952.60514999999998</v>
      </c>
      <c r="E47" s="67"/>
      <c r="F47" s="69"/>
      <c r="G47" s="74">
        <f>'Plot By Plot SoA'!H166</f>
        <v>0</v>
      </c>
      <c r="H47" s="70"/>
      <c r="I47" s="71"/>
      <c r="J47" s="76"/>
      <c r="K47" s="74">
        <f>'Plot By Plot SoA'!L166</f>
        <v>0</v>
      </c>
      <c r="L47" s="74"/>
      <c r="M47" s="74"/>
      <c r="N47" s="71"/>
    </row>
    <row r="48" spans="1:14" s="103" customFormat="1" x14ac:dyDescent="0.25">
      <c r="A48" s="65">
        <v>41</v>
      </c>
      <c r="B48" s="75">
        <f>'Plot By Plot SoA'!B168</f>
        <v>138</v>
      </c>
      <c r="C48" s="69">
        <f>'Plot By Plot SoA'!C168</f>
        <v>90.7</v>
      </c>
      <c r="D48" s="102">
        <f>'Plot By Plot SoA'!D168</f>
        <v>976.28572999999994</v>
      </c>
      <c r="E48" s="67"/>
      <c r="F48" s="69"/>
      <c r="G48" s="74">
        <f>'Plot By Plot SoA'!H168</f>
        <v>0</v>
      </c>
      <c r="H48" s="70"/>
      <c r="I48" s="71"/>
      <c r="J48" s="76"/>
      <c r="K48" s="74" t="str">
        <f>'Plot By Plot SoA'!L168</f>
        <v>Y</v>
      </c>
      <c r="L48" s="74"/>
      <c r="M48" s="74"/>
      <c r="N48" s="71"/>
    </row>
    <row r="49" spans="1:20" s="103" customFormat="1" x14ac:dyDescent="0.25">
      <c r="A49" s="65">
        <v>42</v>
      </c>
      <c r="B49" s="75">
        <f>'Plot By Plot SoA'!B170</f>
        <v>140</v>
      </c>
      <c r="C49" s="69">
        <f>'Plot By Plot SoA'!C170</f>
        <v>87.6</v>
      </c>
      <c r="D49" s="102">
        <f>'Plot By Plot SoA'!D170</f>
        <v>942.91763999999989</v>
      </c>
      <c r="E49" s="67"/>
      <c r="F49" s="69">
        <f>'Plot By Plot SoA'!G170</f>
        <v>0</v>
      </c>
      <c r="G49" s="74"/>
      <c r="H49" s="70"/>
      <c r="I49" s="71"/>
      <c r="J49" s="76"/>
      <c r="K49" s="74" t="str">
        <f>'Plot By Plot SoA'!L170</f>
        <v>Y</v>
      </c>
      <c r="L49" s="74"/>
      <c r="M49" s="74"/>
      <c r="N49" s="71"/>
    </row>
    <row r="50" spans="1:20" s="103" customFormat="1" ht="15.75" thickBot="1" x14ac:dyDescent="0.3">
      <c r="A50" s="78">
        <v>43</v>
      </c>
      <c r="B50" s="79">
        <f>'Plot By Plot SoA'!B171</f>
        <v>141</v>
      </c>
      <c r="C50" s="82">
        <f>'Plot By Plot SoA'!C171</f>
        <v>97.3</v>
      </c>
      <c r="D50" s="104">
        <f>'Plot By Plot SoA'!D171</f>
        <v>1047.3274699999999</v>
      </c>
      <c r="E50" s="80"/>
      <c r="F50" s="82">
        <f>'Plot By Plot SoA'!G171</f>
        <v>0</v>
      </c>
      <c r="G50" s="86"/>
      <c r="H50" s="70"/>
      <c r="I50" s="71"/>
      <c r="J50" s="85"/>
      <c r="K50" s="86">
        <f>'Plot By Plot SoA'!L171</f>
        <v>0</v>
      </c>
      <c r="L50" s="86"/>
      <c r="M50" s="86"/>
      <c r="N50" s="71"/>
    </row>
    <row r="51" spans="1:20" s="103" customFormat="1" ht="39" customHeight="1" thickBot="1" x14ac:dyDescent="0.3">
      <c r="A51" s="137" t="s">
        <v>47</v>
      </c>
      <c r="B51" s="138">
        <f>COUNTA(B16:B50)</f>
        <v>35</v>
      </c>
      <c r="C51" s="143">
        <f>SUM(C16:C50)</f>
        <v>3221.2999999999997</v>
      </c>
      <c r="D51" s="108">
        <f>SUM(C51*10.7639)</f>
        <v>34673.751069999998</v>
      </c>
      <c r="E51" s="105">
        <f>COUNTA(E16:E50)</f>
        <v>0</v>
      </c>
      <c r="F51" s="105">
        <f t="shared" ref="F51:N51" si="1">COUNTA(F16:F50)</f>
        <v>2</v>
      </c>
      <c r="G51" s="105">
        <f t="shared" si="1"/>
        <v>21</v>
      </c>
      <c r="H51" s="138">
        <f t="shared" si="1"/>
        <v>12</v>
      </c>
      <c r="I51" s="105">
        <f t="shared" si="1"/>
        <v>0</v>
      </c>
      <c r="J51" s="105">
        <f t="shared" si="1"/>
        <v>12</v>
      </c>
      <c r="K51" s="105">
        <f t="shared" si="1"/>
        <v>23</v>
      </c>
      <c r="L51" s="105">
        <f t="shared" si="1"/>
        <v>0</v>
      </c>
      <c r="M51" s="105">
        <f t="shared" si="1"/>
        <v>0</v>
      </c>
      <c r="N51" s="106">
        <f t="shared" si="1"/>
        <v>0</v>
      </c>
    </row>
    <row r="52" spans="1:20" s="103" customFormat="1" ht="15.75" thickTop="1" x14ac:dyDescent="0.25">
      <c r="A52" s="53" t="s">
        <v>49</v>
      </c>
      <c r="B52" s="21"/>
      <c r="C52" s="146"/>
      <c r="D52" s="147"/>
      <c r="E52" s="148"/>
      <c r="F52" s="149"/>
      <c r="G52" s="149"/>
      <c r="H52" s="171"/>
      <c r="I52" s="150"/>
      <c r="J52" s="3">
        <v>1</v>
      </c>
      <c r="K52" s="4">
        <v>2</v>
      </c>
      <c r="L52" s="4">
        <v>3</v>
      </c>
      <c r="M52" s="151">
        <v>4</v>
      </c>
      <c r="N52" s="5">
        <v>5</v>
      </c>
      <c r="P52" s="1960" t="s">
        <v>57</v>
      </c>
      <c r="Q52" s="1961"/>
      <c r="R52" s="1961"/>
      <c r="S52" s="1961"/>
      <c r="T52" s="1962"/>
    </row>
    <row r="53" spans="1:20" s="103" customFormat="1" x14ac:dyDescent="0.25">
      <c r="A53" s="87">
        <v>44</v>
      </c>
      <c r="B53" s="75">
        <f>'Plot By Plot SoA'!B178</f>
        <v>148</v>
      </c>
      <c r="C53" s="69">
        <f>'Plot By Plot SoA'!C178</f>
        <v>52.1</v>
      </c>
      <c r="D53" s="102">
        <f>'Plot By Plot SoA'!D178</f>
        <v>560.79918999999995</v>
      </c>
      <c r="E53" s="67"/>
      <c r="G53" s="74">
        <f>'Plot By Plot SoA'!H178</f>
        <v>0</v>
      </c>
      <c r="H53" s="70"/>
      <c r="I53" s="71"/>
      <c r="J53" s="76"/>
      <c r="K53" s="69">
        <f>'Plot By Plot SoA'!L178</f>
        <v>0</v>
      </c>
      <c r="L53" s="74"/>
      <c r="M53" s="74"/>
      <c r="N53" s="71"/>
      <c r="P53" s="164"/>
      <c r="Q53" s="159" t="s">
        <v>54</v>
      </c>
      <c r="R53" s="159" t="s">
        <v>55</v>
      </c>
      <c r="S53" s="160" t="s">
        <v>56</v>
      </c>
      <c r="T53" s="163" t="s">
        <v>52</v>
      </c>
    </row>
    <row r="54" spans="1:20" s="103" customFormat="1" x14ac:dyDescent="0.25">
      <c r="A54" s="65">
        <v>45</v>
      </c>
      <c r="B54" s="75">
        <f>'Plot By Plot SoA'!B179</f>
        <v>149</v>
      </c>
      <c r="C54" s="69">
        <f>'Plot By Plot SoA'!C179</f>
        <v>70</v>
      </c>
      <c r="D54" s="102">
        <f>'Plot By Plot SoA'!D179</f>
        <v>753.47299999999996</v>
      </c>
      <c r="E54" s="67"/>
      <c r="F54" s="69"/>
      <c r="G54" s="69" t="str">
        <f>'Plot By Plot SoA'!H179</f>
        <v>Y</v>
      </c>
      <c r="H54" s="70"/>
      <c r="I54" s="71"/>
      <c r="J54" s="76"/>
      <c r="K54" s="69" t="str">
        <f>'Plot By Plot SoA'!L179</f>
        <v>Y</v>
      </c>
      <c r="L54" s="74"/>
      <c r="M54" s="74"/>
      <c r="N54" s="71"/>
      <c r="P54" s="155" t="s">
        <v>28</v>
      </c>
      <c r="Q54" s="103">
        <v>0</v>
      </c>
      <c r="R54" s="103">
        <v>0</v>
      </c>
      <c r="S54" s="70">
        <v>0</v>
      </c>
      <c r="T54" s="71">
        <f>SUM(Q54:S54)</f>
        <v>0</v>
      </c>
    </row>
    <row r="55" spans="1:20" s="103" customFormat="1" x14ac:dyDescent="0.25">
      <c r="A55" s="65">
        <v>46</v>
      </c>
      <c r="B55" s="75">
        <f>'Plot By Plot SoA'!B180</f>
        <v>150</v>
      </c>
      <c r="C55" s="69">
        <f>'Plot By Plot SoA'!C180</f>
        <v>38.200000000000003</v>
      </c>
      <c r="D55" s="102">
        <f>'Plot By Plot SoA'!D180</f>
        <v>411.18098000000003</v>
      </c>
      <c r="E55" s="67"/>
      <c r="F55" s="69"/>
      <c r="G55" s="69">
        <f>'Plot By Plot SoA'!H180</f>
        <v>0</v>
      </c>
      <c r="H55" s="70"/>
      <c r="I55" s="71"/>
      <c r="J55" s="76"/>
      <c r="K55" s="69">
        <f>'Plot By Plot SoA'!L180</f>
        <v>0</v>
      </c>
      <c r="L55" s="74"/>
      <c r="M55" s="74"/>
      <c r="N55" s="71"/>
      <c r="P55" s="155" t="s">
        <v>29</v>
      </c>
      <c r="Q55" s="103">
        <v>0</v>
      </c>
      <c r="R55" s="103">
        <v>8</v>
      </c>
      <c r="S55" s="70">
        <v>0</v>
      </c>
      <c r="T55" s="71">
        <f>SUM(Q55:S55)</f>
        <v>8</v>
      </c>
    </row>
    <row r="56" spans="1:20" s="103" customFormat="1" ht="15.75" thickBot="1" x14ac:dyDescent="0.3">
      <c r="A56" s="65">
        <v>47</v>
      </c>
      <c r="B56" s="75">
        <f>'Plot By Plot SoA'!B181</f>
        <v>151</v>
      </c>
      <c r="C56" s="69">
        <f>'Plot By Plot SoA'!C181</f>
        <v>52.1</v>
      </c>
      <c r="D56" s="102">
        <f>'Plot By Plot SoA'!D181</f>
        <v>560.79918999999995</v>
      </c>
      <c r="E56" s="67"/>
      <c r="F56" s="69"/>
      <c r="G56" s="69">
        <f>'Plot By Plot SoA'!H181</f>
        <v>0</v>
      </c>
      <c r="H56" s="70"/>
      <c r="I56" s="71"/>
      <c r="J56" s="76"/>
      <c r="K56" s="69">
        <f>'Plot By Plot SoA'!L181</f>
        <v>0</v>
      </c>
      <c r="L56" s="74"/>
      <c r="M56" s="74"/>
      <c r="N56" s="71"/>
      <c r="P56" s="165" t="s">
        <v>30</v>
      </c>
      <c r="Q56" s="161">
        <v>0</v>
      </c>
      <c r="R56" s="161">
        <v>0</v>
      </c>
      <c r="S56" s="162">
        <v>0</v>
      </c>
      <c r="T56" s="71">
        <f>SUM(Q56:S56)</f>
        <v>0</v>
      </c>
    </row>
    <row r="57" spans="1:20" s="103" customFormat="1" ht="15.75" thickBot="1" x14ac:dyDescent="0.3">
      <c r="A57" s="65">
        <v>48</v>
      </c>
      <c r="B57" s="75">
        <f>'Plot By Plot SoA'!B182</f>
        <v>152</v>
      </c>
      <c r="C57" s="69">
        <f>'Plot By Plot SoA'!C182</f>
        <v>38.200000000000003</v>
      </c>
      <c r="D57" s="102">
        <f>'Plot By Plot SoA'!D182</f>
        <v>411.18098000000003</v>
      </c>
      <c r="E57" s="67"/>
      <c r="F57" s="69"/>
      <c r="G57" s="69">
        <f>'Plot By Plot SoA'!H182</f>
        <v>0</v>
      </c>
      <c r="H57" s="70"/>
      <c r="I57" s="71"/>
      <c r="J57" s="76"/>
      <c r="K57" s="69">
        <f>'Plot By Plot SoA'!L182</f>
        <v>0</v>
      </c>
      <c r="L57" s="74"/>
      <c r="M57" s="74"/>
      <c r="N57" s="71"/>
      <c r="P57" s="156" t="s">
        <v>52</v>
      </c>
      <c r="Q57" s="154">
        <f>SUM(Q54:Q56)</f>
        <v>0</v>
      </c>
      <c r="R57" s="154">
        <f>SUM(R54:R56)</f>
        <v>8</v>
      </c>
      <c r="S57" s="154">
        <f>SUM(S54:S56)</f>
        <v>0</v>
      </c>
      <c r="T57" s="153">
        <f>SUM(Q57:S57)</f>
        <v>8</v>
      </c>
    </row>
    <row r="58" spans="1:20" s="103" customFormat="1" x14ac:dyDescent="0.25">
      <c r="A58" s="65">
        <v>49</v>
      </c>
      <c r="B58" s="75">
        <f>'Plot By Plot SoA'!B183</f>
        <v>153</v>
      </c>
      <c r="C58" s="69">
        <f>'Plot By Plot SoA'!C183</f>
        <v>49.8</v>
      </c>
      <c r="D58" s="102">
        <f>'Plot By Plot SoA'!D183</f>
        <v>536.04221999999993</v>
      </c>
      <c r="E58" s="67"/>
      <c r="F58" s="69"/>
      <c r="G58" s="69">
        <f>'Plot By Plot SoA'!H183</f>
        <v>0</v>
      </c>
      <c r="H58" s="70"/>
      <c r="I58" s="71"/>
      <c r="J58" s="76"/>
      <c r="K58" s="69">
        <f>'Plot By Plot SoA'!L183</f>
        <v>0</v>
      </c>
      <c r="L58" s="74"/>
      <c r="M58" s="74"/>
      <c r="N58" s="71"/>
    </row>
    <row r="59" spans="1:20" s="103" customFormat="1" x14ac:dyDescent="0.25">
      <c r="A59" s="65">
        <v>50</v>
      </c>
      <c r="B59" s="75">
        <f>'Plot By Plot SoA'!B184</f>
        <v>154</v>
      </c>
      <c r="C59" s="69">
        <f>'Plot By Plot SoA'!C184</f>
        <v>37.200000000000003</v>
      </c>
      <c r="D59" s="102">
        <f>'Plot By Plot SoA'!D184</f>
        <v>400.41708</v>
      </c>
      <c r="E59" s="67"/>
      <c r="F59" s="69"/>
      <c r="G59" s="69">
        <f>'Plot By Plot SoA'!H184</f>
        <v>0</v>
      </c>
      <c r="H59" s="70"/>
      <c r="I59" s="71"/>
      <c r="J59" s="76"/>
      <c r="K59" s="69">
        <f>'Plot By Plot SoA'!L184</f>
        <v>0</v>
      </c>
      <c r="L59" s="74"/>
      <c r="M59" s="74"/>
      <c r="N59" s="71"/>
    </row>
    <row r="60" spans="1:20" s="103" customFormat="1" ht="15.75" thickBot="1" x14ac:dyDescent="0.3">
      <c r="A60" s="78">
        <v>51</v>
      </c>
      <c r="B60" s="79">
        <f>'Plot By Plot SoA'!B185</f>
        <v>155</v>
      </c>
      <c r="C60" s="82">
        <f>'Plot By Plot SoA'!C185</f>
        <v>49.8</v>
      </c>
      <c r="D60" s="104">
        <f>'Plot By Plot SoA'!D185</f>
        <v>536.04221999999993</v>
      </c>
      <c r="E60" s="80"/>
      <c r="F60" s="82"/>
      <c r="G60" s="82">
        <f>'Plot By Plot SoA'!H185</f>
        <v>0</v>
      </c>
      <c r="H60" s="83"/>
      <c r="I60" s="71"/>
      <c r="J60" s="85"/>
      <c r="K60" s="82">
        <f>'Plot By Plot SoA'!L185</f>
        <v>0</v>
      </c>
      <c r="L60" s="86"/>
      <c r="M60" s="86"/>
      <c r="N60" s="71"/>
    </row>
    <row r="61" spans="1:20" s="103" customFormat="1" ht="39" customHeight="1" thickBot="1" x14ac:dyDescent="0.3">
      <c r="A61" s="137" t="s">
        <v>47</v>
      </c>
      <c r="B61" s="138">
        <f>COUNTA(B53:B60)</f>
        <v>8</v>
      </c>
      <c r="C61" s="143">
        <f>SUM(C53:C60)</f>
        <v>387.40000000000003</v>
      </c>
      <c r="D61" s="108">
        <f>SUM(C61*10.7639)</f>
        <v>4169.9348600000003</v>
      </c>
      <c r="E61" s="105">
        <f>COUNTA(E53:E60)</f>
        <v>0</v>
      </c>
      <c r="F61" s="105">
        <f t="shared" ref="F61:M61" si="2">COUNTA(F53:F60)</f>
        <v>0</v>
      </c>
      <c r="G61" s="105">
        <f t="shared" si="2"/>
        <v>8</v>
      </c>
      <c r="H61" s="138">
        <f t="shared" si="2"/>
        <v>0</v>
      </c>
      <c r="I61" s="152">
        <f t="shared" si="2"/>
        <v>0</v>
      </c>
      <c r="J61" s="105">
        <f t="shared" si="2"/>
        <v>0</v>
      </c>
      <c r="K61" s="105">
        <f t="shared" si="2"/>
        <v>8</v>
      </c>
      <c r="L61" s="105">
        <f t="shared" si="2"/>
        <v>0</v>
      </c>
      <c r="M61" s="105">
        <f t="shared" si="2"/>
        <v>0</v>
      </c>
      <c r="N61" s="106">
        <f>COUNTA(N53:N60)</f>
        <v>0</v>
      </c>
    </row>
    <row r="62" spans="1:20" s="103" customFormat="1" ht="15.75" thickTop="1" x14ac:dyDescent="0.25">
      <c r="A62" s="53" t="s">
        <v>26</v>
      </c>
      <c r="B62" s="21"/>
      <c r="C62" s="146"/>
      <c r="D62" s="147"/>
      <c r="E62" s="148"/>
      <c r="F62" s="149"/>
      <c r="G62" s="149"/>
      <c r="H62" s="171"/>
      <c r="I62" s="150"/>
      <c r="J62" s="3">
        <v>1</v>
      </c>
      <c r="K62" s="4">
        <v>2</v>
      </c>
      <c r="L62" s="4">
        <v>3</v>
      </c>
      <c r="M62" s="151">
        <v>4</v>
      </c>
      <c r="N62" s="5">
        <v>5</v>
      </c>
      <c r="P62" s="1960" t="s">
        <v>53</v>
      </c>
      <c r="Q62" s="1961"/>
      <c r="R62" s="1961"/>
      <c r="S62" s="1961"/>
      <c r="T62" s="1962"/>
    </row>
    <row r="63" spans="1:20" s="103" customFormat="1" x14ac:dyDescent="0.25">
      <c r="A63" s="87">
        <v>52</v>
      </c>
      <c r="B63" s="75">
        <f>'Plot By Plot SoA'!B288</f>
        <v>257</v>
      </c>
      <c r="C63" s="69">
        <f>'Plot By Plot SoA'!C288</f>
        <v>43.4</v>
      </c>
      <c r="D63" s="102">
        <f>'Plot By Plot SoA'!D288</f>
        <v>467.15325999999999</v>
      </c>
      <c r="E63" s="67"/>
      <c r="F63" s="74">
        <f>'Plot By Plot SoA'!G288</f>
        <v>0</v>
      </c>
      <c r="G63" s="74"/>
      <c r="H63" s="70"/>
      <c r="I63" s="71"/>
      <c r="J63" s="76"/>
      <c r="K63" s="74"/>
      <c r="L63" s="69">
        <f>'Plot By Plot SoA'!M288</f>
        <v>0</v>
      </c>
      <c r="M63" s="69"/>
      <c r="N63" s="71"/>
      <c r="P63" s="164"/>
      <c r="Q63" s="159" t="s">
        <v>54</v>
      </c>
      <c r="R63" s="159" t="s">
        <v>55</v>
      </c>
      <c r="S63" s="160" t="s">
        <v>56</v>
      </c>
      <c r="T63" s="163" t="s">
        <v>52</v>
      </c>
    </row>
    <row r="64" spans="1:20" s="103" customFormat="1" x14ac:dyDescent="0.25">
      <c r="A64" s="65">
        <v>53</v>
      </c>
      <c r="B64" s="75">
        <f>'Plot By Plot SoA'!B290</f>
        <v>259</v>
      </c>
      <c r="C64" s="69">
        <f>'Plot By Plot SoA'!C290</f>
        <v>43.4</v>
      </c>
      <c r="D64" s="102">
        <f>'Plot By Plot SoA'!D290</f>
        <v>467.15325999999999</v>
      </c>
      <c r="E64" s="67"/>
      <c r="F64" s="74"/>
      <c r="G64" s="74">
        <f>'Plot By Plot SoA'!H290</f>
        <v>0</v>
      </c>
      <c r="H64" s="70"/>
      <c r="I64" s="71"/>
      <c r="J64" s="76"/>
      <c r="K64" s="74">
        <f>'Plot By Plot SoA'!L290</f>
        <v>0</v>
      </c>
      <c r="L64" s="69"/>
      <c r="M64" s="69"/>
      <c r="N64" s="71"/>
      <c r="P64" s="155" t="s">
        <v>28</v>
      </c>
      <c r="Q64" s="103">
        <v>0</v>
      </c>
      <c r="R64" s="103">
        <v>0</v>
      </c>
      <c r="S64" s="70">
        <v>10</v>
      </c>
      <c r="T64" s="71">
        <f>SUM(Q64:S64)</f>
        <v>10</v>
      </c>
    </row>
    <row r="65" spans="1:20" s="103" customFormat="1" x14ac:dyDescent="0.25">
      <c r="A65" s="65">
        <v>54</v>
      </c>
      <c r="B65" s="75">
        <f>'Plot By Plot SoA'!B292</f>
        <v>261</v>
      </c>
      <c r="C65" s="69">
        <f>'Plot By Plot SoA'!C292</f>
        <v>43.4</v>
      </c>
      <c r="D65" s="102">
        <f>'Plot By Plot SoA'!D292</f>
        <v>467.15325999999999</v>
      </c>
      <c r="E65" s="67"/>
      <c r="F65" s="74"/>
      <c r="G65" s="74">
        <f>'Plot By Plot SoA'!H292</f>
        <v>0</v>
      </c>
      <c r="H65" s="70"/>
      <c r="I65" s="71"/>
      <c r="J65" s="76"/>
      <c r="K65" s="74">
        <f>'Plot By Plot SoA'!L292</f>
        <v>0</v>
      </c>
      <c r="L65" s="69"/>
      <c r="M65" s="69"/>
      <c r="N65" s="71"/>
      <c r="P65" s="155" t="s">
        <v>29</v>
      </c>
      <c r="Q65" s="103">
        <v>0</v>
      </c>
      <c r="R65" s="103">
        <v>11</v>
      </c>
      <c r="S65" s="70">
        <v>0</v>
      </c>
      <c r="T65" s="71">
        <f>SUM(Q65:S65)</f>
        <v>11</v>
      </c>
    </row>
    <row r="66" spans="1:20" s="103" customFormat="1" ht="15.75" thickBot="1" x14ac:dyDescent="0.3">
      <c r="A66" s="65">
        <v>55</v>
      </c>
      <c r="B66" s="75">
        <f>'Plot By Plot SoA'!B294</f>
        <v>263</v>
      </c>
      <c r="C66" s="69">
        <f>'Plot By Plot SoA'!C294</f>
        <v>43.4</v>
      </c>
      <c r="D66" s="102">
        <f>'Plot By Plot SoA'!D294</f>
        <v>467.15325999999999</v>
      </c>
      <c r="E66" s="67"/>
      <c r="F66" s="74"/>
      <c r="G66" s="74">
        <f>'Plot By Plot SoA'!H294</f>
        <v>0</v>
      </c>
      <c r="H66" s="70"/>
      <c r="I66" s="71"/>
      <c r="J66" s="76"/>
      <c r="K66" s="74">
        <f>'Plot By Plot SoA'!L294</f>
        <v>0</v>
      </c>
      <c r="L66" s="69"/>
      <c r="M66" s="69"/>
      <c r="N66" s="71"/>
      <c r="P66" s="165" t="s">
        <v>30</v>
      </c>
      <c r="Q66" s="161">
        <v>1</v>
      </c>
      <c r="R66" s="161">
        <v>0</v>
      </c>
      <c r="S66" s="162">
        <v>1</v>
      </c>
      <c r="T66" s="71">
        <f>SUM(Q66:S66)</f>
        <v>2</v>
      </c>
    </row>
    <row r="67" spans="1:20" s="103" customFormat="1" ht="15.75" thickBot="1" x14ac:dyDescent="0.3">
      <c r="A67" s="65">
        <v>56</v>
      </c>
      <c r="B67" s="75">
        <f>'Plot By Plot SoA'!B296</f>
        <v>265</v>
      </c>
      <c r="C67" s="69">
        <f>'Plot By Plot SoA'!C296</f>
        <v>43.4</v>
      </c>
      <c r="D67" s="102">
        <f>'Plot By Plot SoA'!D296</f>
        <v>467.15325999999999</v>
      </c>
      <c r="E67" s="67"/>
      <c r="F67" s="74"/>
      <c r="G67" s="74"/>
      <c r="H67" s="70" t="str">
        <f>'Plot By Plot SoA'!I296</f>
        <v>Y</v>
      </c>
      <c r="I67" s="71"/>
      <c r="J67" s="76" t="str">
        <f>'Plot By Plot SoA'!K296</f>
        <v>Y</v>
      </c>
      <c r="K67" s="74"/>
      <c r="L67" s="69"/>
      <c r="M67" s="69"/>
      <c r="N67" s="71"/>
      <c r="P67" s="156" t="s">
        <v>52</v>
      </c>
      <c r="Q67" s="154">
        <f>SUM(Q64:Q66)</f>
        <v>1</v>
      </c>
      <c r="R67" s="154">
        <f>SUM(R64:R66)</f>
        <v>11</v>
      </c>
      <c r="S67" s="154">
        <f>SUM(S64:S66)</f>
        <v>11</v>
      </c>
      <c r="T67" s="153">
        <f>SUM(Q67:S67)</f>
        <v>23</v>
      </c>
    </row>
    <row r="68" spans="1:20" s="103" customFormat="1" x14ac:dyDescent="0.25">
      <c r="A68" s="65">
        <v>57</v>
      </c>
      <c r="B68" s="75">
        <f>'Plot By Plot SoA'!B297</f>
        <v>266</v>
      </c>
      <c r="C68" s="69">
        <f>'Plot By Plot SoA'!C297</f>
        <v>43.4</v>
      </c>
      <c r="D68" s="102">
        <f>'Plot By Plot SoA'!D297</f>
        <v>467.15325999999999</v>
      </c>
      <c r="E68" s="67"/>
      <c r="F68" s="74"/>
      <c r="G68" s="74"/>
      <c r="H68" s="70" t="str">
        <f>'Plot By Plot SoA'!I297</f>
        <v>Y</v>
      </c>
      <c r="I68" s="71"/>
      <c r="J68" s="76" t="str">
        <f>'Plot By Plot SoA'!K297</f>
        <v>Y</v>
      </c>
      <c r="K68" s="74"/>
      <c r="L68" s="69"/>
      <c r="M68" s="69"/>
      <c r="N68" s="71"/>
    </row>
    <row r="69" spans="1:20" s="103" customFormat="1" x14ac:dyDescent="0.25">
      <c r="A69" s="65">
        <v>58</v>
      </c>
      <c r="B69" s="75">
        <f>'Plot By Plot SoA'!B298</f>
        <v>267</v>
      </c>
      <c r="C69" s="69">
        <f>'Plot By Plot SoA'!C298</f>
        <v>43.4</v>
      </c>
      <c r="D69" s="102">
        <f>'Plot By Plot SoA'!D298</f>
        <v>467.15325999999999</v>
      </c>
      <c r="E69" s="67"/>
      <c r="F69" s="74"/>
      <c r="G69" s="74"/>
      <c r="H69" s="70" t="str">
        <f>'Plot By Plot SoA'!I298</f>
        <v>Y</v>
      </c>
      <c r="I69" s="71"/>
      <c r="J69" s="76" t="str">
        <f>'Plot By Plot SoA'!K298</f>
        <v>Y</v>
      </c>
      <c r="K69" s="74"/>
      <c r="L69" s="69"/>
      <c r="M69" s="69"/>
      <c r="N69" s="71"/>
    </row>
    <row r="70" spans="1:20" s="103" customFormat="1" x14ac:dyDescent="0.25">
      <c r="A70" s="65">
        <v>59</v>
      </c>
      <c r="B70" s="75">
        <f>'Plot By Plot SoA'!B299</f>
        <v>268</v>
      </c>
      <c r="C70" s="69">
        <f>'Plot By Plot SoA'!C299</f>
        <v>43.4</v>
      </c>
      <c r="D70" s="102">
        <f>'Plot By Plot SoA'!D299</f>
        <v>467.15325999999999</v>
      </c>
      <c r="E70" s="67"/>
      <c r="F70" s="74"/>
      <c r="G70" s="74"/>
      <c r="H70" s="70" t="str">
        <f>'Plot By Plot SoA'!I299</f>
        <v>Y</v>
      </c>
      <c r="I70" s="71"/>
      <c r="J70" s="76" t="str">
        <f>'Plot By Plot SoA'!K299</f>
        <v>Y</v>
      </c>
      <c r="K70" s="74"/>
      <c r="L70" s="69"/>
      <c r="M70" s="69"/>
      <c r="N70" s="71"/>
    </row>
    <row r="71" spans="1:20" s="103" customFormat="1" x14ac:dyDescent="0.25">
      <c r="A71" s="65">
        <v>60</v>
      </c>
      <c r="B71" s="75">
        <f>'Plot By Plot SoA'!B300</f>
        <v>269</v>
      </c>
      <c r="C71" s="69">
        <f>'Plot By Plot SoA'!C300</f>
        <v>43.4</v>
      </c>
      <c r="D71" s="102">
        <f>'Plot By Plot SoA'!D300</f>
        <v>467.15325999999999</v>
      </c>
      <c r="E71" s="67"/>
      <c r="F71" s="74"/>
      <c r="G71" s="74"/>
      <c r="H71" s="70" t="str">
        <f>'Plot By Plot SoA'!I300</f>
        <v>Y</v>
      </c>
      <c r="I71" s="71"/>
      <c r="J71" s="76" t="str">
        <f>'Plot By Plot SoA'!K300</f>
        <v>Y</v>
      </c>
      <c r="K71" s="74"/>
      <c r="L71" s="69"/>
      <c r="M71" s="69"/>
      <c r="N71" s="71"/>
    </row>
    <row r="72" spans="1:20" s="103" customFormat="1" x14ac:dyDescent="0.25">
      <c r="A72" s="65">
        <v>61</v>
      </c>
      <c r="B72" s="75">
        <f>'Plot By Plot SoA'!B301</f>
        <v>270</v>
      </c>
      <c r="C72" s="69">
        <f>'Plot By Plot SoA'!C301</f>
        <v>51.2</v>
      </c>
      <c r="D72" s="102">
        <f>'Plot By Plot SoA'!D301</f>
        <v>551.11167999999998</v>
      </c>
      <c r="E72" s="67"/>
      <c r="F72" s="74"/>
      <c r="G72" s="74"/>
      <c r="H72" s="70" t="str">
        <f>'Plot By Plot SoA'!I301</f>
        <v>Y</v>
      </c>
      <c r="I72" s="71"/>
      <c r="J72" s="76" t="str">
        <f>'Plot By Plot SoA'!K301</f>
        <v>Y</v>
      </c>
      <c r="K72" s="74"/>
      <c r="L72" s="69"/>
      <c r="M72" s="69"/>
      <c r="N72" s="71"/>
    </row>
    <row r="73" spans="1:20" s="103" customFormat="1" x14ac:dyDescent="0.25">
      <c r="A73" s="65">
        <v>62</v>
      </c>
      <c r="B73" s="75">
        <f>'Plot By Plot SoA'!B302</f>
        <v>271</v>
      </c>
      <c r="C73" s="69">
        <f>'Plot By Plot SoA'!C302</f>
        <v>43.4</v>
      </c>
      <c r="D73" s="102">
        <f>'Plot By Plot SoA'!D302</f>
        <v>467.15325999999999</v>
      </c>
      <c r="E73" s="67"/>
      <c r="F73" s="74"/>
      <c r="G73" s="74"/>
      <c r="H73" s="70" t="str">
        <f>'Plot By Plot SoA'!I302</f>
        <v>Y</v>
      </c>
      <c r="I73" s="71"/>
      <c r="J73" s="76" t="str">
        <f>'Plot By Plot SoA'!K302</f>
        <v>Y</v>
      </c>
      <c r="K73" s="74"/>
      <c r="L73" s="69"/>
      <c r="M73" s="69"/>
      <c r="N73" s="71"/>
    </row>
    <row r="74" spans="1:20" s="103" customFormat="1" x14ac:dyDescent="0.25">
      <c r="A74" s="65">
        <v>63</v>
      </c>
      <c r="B74" s="75">
        <f>'Plot By Plot SoA'!B303</f>
        <v>272</v>
      </c>
      <c r="C74" s="69">
        <f>'Plot By Plot SoA'!C303</f>
        <v>43.4</v>
      </c>
      <c r="D74" s="102">
        <f>'Plot By Plot SoA'!D303</f>
        <v>467.15325999999999</v>
      </c>
      <c r="E74" s="67"/>
      <c r="F74" s="74"/>
      <c r="G74" s="74"/>
      <c r="H74" s="70" t="str">
        <f>'Plot By Plot SoA'!I303</f>
        <v>Y</v>
      </c>
      <c r="I74" s="71"/>
      <c r="J74" s="76" t="str">
        <f>'Plot By Plot SoA'!K303</f>
        <v>Y</v>
      </c>
      <c r="K74" s="74"/>
      <c r="L74" s="69"/>
      <c r="M74" s="69"/>
      <c r="N74" s="71"/>
    </row>
    <row r="75" spans="1:20" s="103" customFormat="1" x14ac:dyDescent="0.25">
      <c r="A75" s="65">
        <v>64</v>
      </c>
      <c r="B75" s="75">
        <f>'Plot By Plot SoA'!B305</f>
        <v>274</v>
      </c>
      <c r="C75" s="69">
        <f>'Plot By Plot SoA'!C305</f>
        <v>39.200000000000003</v>
      </c>
      <c r="D75" s="102">
        <f>'Plot By Plot SoA'!D305</f>
        <v>421.94488000000001</v>
      </c>
      <c r="E75" s="67"/>
      <c r="F75" s="74"/>
      <c r="G75" s="74"/>
      <c r="H75" s="70">
        <f>'Plot By Plot SoA'!I305</f>
        <v>0</v>
      </c>
      <c r="I75" s="71"/>
      <c r="J75" s="76" t="str">
        <f>'Plot By Plot SoA'!K305</f>
        <v>Y</v>
      </c>
      <c r="K75" s="74"/>
      <c r="L75" s="69"/>
      <c r="M75" s="69"/>
      <c r="N75" s="71"/>
    </row>
    <row r="76" spans="1:20" s="103" customFormat="1" x14ac:dyDescent="0.25">
      <c r="A76" s="65">
        <v>65</v>
      </c>
      <c r="B76" s="75">
        <f>'Plot By Plot SoA'!B306</f>
        <v>275</v>
      </c>
      <c r="C76" s="69">
        <f>'Plot By Plot SoA'!C306</f>
        <v>57.8</v>
      </c>
      <c r="D76" s="102">
        <f>'Plot By Plot SoA'!D306</f>
        <v>622.15341999999998</v>
      </c>
      <c r="E76" s="67"/>
      <c r="F76" s="74"/>
      <c r="G76" s="74" t="str">
        <f>'Plot By Plot SoA'!H306</f>
        <v>Y</v>
      </c>
      <c r="H76" s="70"/>
      <c r="I76" s="71"/>
      <c r="J76" s="76"/>
      <c r="K76" s="74">
        <f>'Plot By Plot SoA'!L306</f>
        <v>0</v>
      </c>
      <c r="L76" s="69"/>
      <c r="M76" s="69"/>
      <c r="N76" s="71"/>
    </row>
    <row r="77" spans="1:20" s="103" customFormat="1" x14ac:dyDescent="0.25">
      <c r="A77" s="65">
        <v>66</v>
      </c>
      <c r="B77" s="75">
        <f>'Plot By Plot SoA'!B307</f>
        <v>276</v>
      </c>
      <c r="C77" s="69">
        <f>'Plot By Plot SoA'!C307</f>
        <v>57.8</v>
      </c>
      <c r="D77" s="102">
        <f>'Plot By Plot SoA'!D307</f>
        <v>622.15341999999998</v>
      </c>
      <c r="E77" s="67"/>
      <c r="F77" s="74"/>
      <c r="G77" s="74" t="str">
        <f>'Plot By Plot SoA'!H307</f>
        <v>Y</v>
      </c>
      <c r="H77" s="70"/>
      <c r="I77" s="71"/>
      <c r="J77" s="76"/>
      <c r="K77" s="74">
        <f>'Plot By Plot SoA'!L307</f>
        <v>0</v>
      </c>
      <c r="L77" s="69"/>
      <c r="M77" s="69"/>
      <c r="N77" s="71"/>
    </row>
    <row r="78" spans="1:20" s="103" customFormat="1" x14ac:dyDescent="0.25">
      <c r="A78" s="65">
        <v>67</v>
      </c>
      <c r="B78" s="75">
        <f>'Plot By Plot SoA'!B308</f>
        <v>277</v>
      </c>
      <c r="C78" s="69">
        <f>'Plot By Plot SoA'!C308</f>
        <v>50.1</v>
      </c>
      <c r="D78" s="102">
        <f>'Plot By Plot SoA'!D308</f>
        <v>539.27139</v>
      </c>
      <c r="E78" s="67"/>
      <c r="F78" s="74"/>
      <c r="G78" s="74">
        <f>'Plot By Plot SoA'!H308</f>
        <v>0</v>
      </c>
      <c r="H78" s="70"/>
      <c r="I78" s="71"/>
      <c r="J78" s="76"/>
      <c r="K78" s="74">
        <f>'Plot By Plot SoA'!L308</f>
        <v>0</v>
      </c>
      <c r="L78" s="69"/>
      <c r="M78" s="69"/>
      <c r="N78" s="71"/>
    </row>
    <row r="79" spans="1:20" s="103" customFormat="1" x14ac:dyDescent="0.25">
      <c r="A79" s="65">
        <v>68</v>
      </c>
      <c r="B79" s="75">
        <f>'Plot By Plot SoA'!B309</f>
        <v>278</v>
      </c>
      <c r="C79" s="69">
        <f>'Plot By Plot SoA'!C309</f>
        <v>100.1</v>
      </c>
      <c r="D79" s="102">
        <f>'Plot By Plot SoA'!D309</f>
        <v>1077.4663899999998</v>
      </c>
      <c r="E79" s="67"/>
      <c r="F79" s="74"/>
      <c r="G79" s="74" t="str">
        <f>'Plot By Plot SoA'!H309</f>
        <v>Y</v>
      </c>
      <c r="H79" s="70"/>
      <c r="I79" s="71"/>
      <c r="J79" s="76"/>
      <c r="K79" s="74" t="str">
        <f>'Plot By Plot SoA'!L309</f>
        <v>Y</v>
      </c>
      <c r="L79" s="69"/>
      <c r="M79" s="69"/>
      <c r="N79" s="71"/>
    </row>
    <row r="80" spans="1:20" s="103" customFormat="1" x14ac:dyDescent="0.25">
      <c r="A80" s="65">
        <v>69</v>
      </c>
      <c r="B80" s="75">
        <f>'Plot By Plot SoA'!B310</f>
        <v>279</v>
      </c>
      <c r="C80" s="69">
        <f>'Plot By Plot SoA'!C310</f>
        <v>57.8</v>
      </c>
      <c r="D80" s="102">
        <f>'Plot By Plot SoA'!D310</f>
        <v>622.15341999999998</v>
      </c>
      <c r="E80" s="67"/>
      <c r="F80" s="74"/>
      <c r="G80" s="74" t="str">
        <f>'Plot By Plot SoA'!H310</f>
        <v>Y</v>
      </c>
      <c r="H80" s="70"/>
      <c r="I80" s="71"/>
      <c r="J80" s="76"/>
      <c r="K80" s="74">
        <f>'Plot By Plot SoA'!L310</f>
        <v>0</v>
      </c>
      <c r="L80" s="69"/>
      <c r="M80" s="69"/>
      <c r="N80" s="71"/>
    </row>
    <row r="81" spans="1:20" s="103" customFormat="1" x14ac:dyDescent="0.25">
      <c r="A81" s="65">
        <v>70</v>
      </c>
      <c r="B81" s="75">
        <f>'Plot By Plot SoA'!B311</f>
        <v>280</v>
      </c>
      <c r="C81" s="69">
        <f>'Plot By Plot SoA'!C311</f>
        <v>57.8</v>
      </c>
      <c r="D81" s="102">
        <f>'Plot By Plot SoA'!D311</f>
        <v>622.15341999999998</v>
      </c>
      <c r="E81" s="67"/>
      <c r="F81" s="74"/>
      <c r="G81" s="74" t="str">
        <f>'Plot By Plot SoA'!H311</f>
        <v>Y</v>
      </c>
      <c r="H81" s="70"/>
      <c r="I81" s="71"/>
      <c r="J81" s="76"/>
      <c r="K81" s="74">
        <f>'Plot By Plot SoA'!L311</f>
        <v>0</v>
      </c>
      <c r="L81" s="69"/>
      <c r="M81" s="69"/>
      <c r="N81" s="71"/>
    </row>
    <row r="82" spans="1:20" s="103" customFormat="1" x14ac:dyDescent="0.25">
      <c r="A82" s="65">
        <v>71</v>
      </c>
      <c r="B82" s="75">
        <f>'Plot By Plot SoA'!B313</f>
        <v>282</v>
      </c>
      <c r="C82" s="69">
        <f>'Plot By Plot SoA'!C313</f>
        <v>69.599999999999994</v>
      </c>
      <c r="D82" s="102">
        <f>'Plot By Plot SoA'!D313</f>
        <v>749.16743999999994</v>
      </c>
      <c r="E82" s="67"/>
      <c r="F82" s="74"/>
      <c r="G82" s="74" t="str">
        <f>'Plot By Plot SoA'!H313</f>
        <v>Y</v>
      </c>
      <c r="H82" s="70"/>
      <c r="I82" s="71"/>
      <c r="J82" s="76"/>
      <c r="K82" s="74" t="str">
        <f>'Plot By Plot SoA'!L313</f>
        <v>Y</v>
      </c>
      <c r="L82" s="69"/>
      <c r="M82" s="69"/>
      <c r="N82" s="71"/>
    </row>
    <row r="83" spans="1:20" s="103" customFormat="1" x14ac:dyDescent="0.25">
      <c r="A83" s="65">
        <v>72</v>
      </c>
      <c r="B83" s="75">
        <f>'Plot By Plot SoA'!B316</f>
        <v>285</v>
      </c>
      <c r="C83" s="69">
        <f>'Plot By Plot SoA'!C316</f>
        <v>87.3</v>
      </c>
      <c r="D83" s="102">
        <f>'Plot By Plot SoA'!D316</f>
        <v>939.68846999999994</v>
      </c>
      <c r="E83" s="67"/>
      <c r="F83" s="74"/>
      <c r="G83" s="74" t="str">
        <f>'Plot By Plot SoA'!H316</f>
        <v>Y</v>
      </c>
      <c r="H83" s="70"/>
      <c r="I83" s="71"/>
      <c r="J83" s="76"/>
      <c r="K83" s="74">
        <f>'Plot By Plot SoA'!L316</f>
        <v>0</v>
      </c>
      <c r="L83" s="69"/>
      <c r="M83" s="69"/>
      <c r="N83" s="71"/>
    </row>
    <row r="84" spans="1:20" s="103" customFormat="1" x14ac:dyDescent="0.25">
      <c r="A84" s="65">
        <v>73</v>
      </c>
      <c r="B84" s="75">
        <f>'Plot By Plot SoA'!B319</f>
        <v>288</v>
      </c>
      <c r="C84" s="69">
        <f>'Plot By Plot SoA'!C319</f>
        <v>69.599999999999994</v>
      </c>
      <c r="D84" s="102">
        <f>'Plot By Plot SoA'!D319</f>
        <v>749.16743999999994</v>
      </c>
      <c r="E84" s="67"/>
      <c r="F84" s="74"/>
      <c r="G84" s="74"/>
      <c r="H84" s="70">
        <f>'Plot By Plot SoA'!I319</f>
        <v>0</v>
      </c>
      <c r="I84" s="71"/>
      <c r="J84" s="76">
        <f>'Plot By Plot SoA'!K319</f>
        <v>0</v>
      </c>
      <c r="K84" s="74"/>
      <c r="L84" s="69"/>
      <c r="M84" s="69"/>
      <c r="N84" s="71"/>
    </row>
    <row r="85" spans="1:20" s="103" customFormat="1" ht="15.75" thickBot="1" x14ac:dyDescent="0.3">
      <c r="A85" s="65">
        <v>74</v>
      </c>
      <c r="B85" s="79">
        <f>'Plot By Plot SoA'!B320</f>
        <v>289</v>
      </c>
      <c r="C85" s="82">
        <f>'Plot By Plot SoA'!C320</f>
        <v>59.4</v>
      </c>
      <c r="D85" s="102">
        <f>C85*10.7639</f>
        <v>639.37565999999993</v>
      </c>
      <c r="E85" s="80"/>
      <c r="F85" s="86"/>
      <c r="G85" s="86"/>
      <c r="H85" s="70" t="str">
        <f>'Plot By Plot SoA'!I320</f>
        <v>Y</v>
      </c>
      <c r="I85" s="71"/>
      <c r="J85" s="85"/>
      <c r="K85" s="86"/>
      <c r="L85" s="82" t="s">
        <v>8</v>
      </c>
      <c r="M85" s="82"/>
      <c r="N85" s="71"/>
    </row>
    <row r="86" spans="1:20" s="103" customFormat="1" ht="39" customHeight="1" thickBot="1" x14ac:dyDescent="0.3">
      <c r="A86" s="137" t="s">
        <v>47</v>
      </c>
      <c r="B86" s="138">
        <f>COUNTA(B63:B85)</f>
        <v>23</v>
      </c>
      <c r="C86" s="143">
        <f>SUM(C63:C85)</f>
        <v>1235.0999999999999</v>
      </c>
      <c r="D86" s="108">
        <f>SUM(C86*10.7639)</f>
        <v>13294.492889999998</v>
      </c>
      <c r="E86" s="143">
        <f t="shared" ref="E86:N86" si="3">COUNTA(E63:E85)</f>
        <v>0</v>
      </c>
      <c r="F86" s="105">
        <f t="shared" si="3"/>
        <v>1</v>
      </c>
      <c r="G86" s="122">
        <f t="shared" si="3"/>
        <v>11</v>
      </c>
      <c r="H86" s="138">
        <f t="shared" si="3"/>
        <v>11</v>
      </c>
      <c r="I86" s="106">
        <f t="shared" si="3"/>
        <v>0</v>
      </c>
      <c r="J86" s="105">
        <f t="shared" si="3"/>
        <v>10</v>
      </c>
      <c r="K86" s="122">
        <f t="shared" si="3"/>
        <v>11</v>
      </c>
      <c r="L86" s="122">
        <f t="shared" si="3"/>
        <v>2</v>
      </c>
      <c r="M86" s="105">
        <f t="shared" si="3"/>
        <v>0</v>
      </c>
      <c r="N86" s="124">
        <f t="shared" si="3"/>
        <v>0</v>
      </c>
    </row>
    <row r="87" spans="1:20" s="103" customFormat="1" ht="45.75" thickBot="1" x14ac:dyDescent="0.3">
      <c r="A87" s="1963"/>
      <c r="B87" s="46" t="s">
        <v>5</v>
      </c>
      <c r="C87" s="144"/>
      <c r="D87" s="145"/>
      <c r="E87" s="10">
        <f t="shared" ref="E87:N87" si="4">COUNTA(E6:E13,E16:E50,E53:E60,E63:E85)</f>
        <v>0</v>
      </c>
      <c r="F87" s="10">
        <f t="shared" si="4"/>
        <v>3</v>
      </c>
      <c r="G87" s="10">
        <f t="shared" si="4"/>
        <v>40</v>
      </c>
      <c r="H87" s="10">
        <f t="shared" si="4"/>
        <v>31</v>
      </c>
      <c r="I87" s="98">
        <f t="shared" si="4"/>
        <v>0</v>
      </c>
      <c r="J87" s="42">
        <f t="shared" si="4"/>
        <v>27</v>
      </c>
      <c r="K87" s="10">
        <f t="shared" si="4"/>
        <v>45</v>
      </c>
      <c r="L87" s="10">
        <f t="shared" si="4"/>
        <v>2</v>
      </c>
      <c r="M87" s="10">
        <f t="shared" si="4"/>
        <v>0</v>
      </c>
      <c r="N87" s="98">
        <f t="shared" si="4"/>
        <v>0</v>
      </c>
    </row>
    <row r="88" spans="1:20" s="103" customFormat="1" ht="30.75" thickBot="1" x14ac:dyDescent="0.3">
      <c r="A88" s="1964"/>
      <c r="B88" s="47" t="s">
        <v>6</v>
      </c>
      <c r="C88" s="1954" t="e">
        <f>SUM(C6:C13,C63:C85,C53:C60,C16:C50)</f>
        <v>#REF!</v>
      </c>
      <c r="D88" s="1955"/>
      <c r="E88" s="1955"/>
      <c r="F88" s="1955"/>
      <c r="G88" s="1955"/>
      <c r="H88" s="1955"/>
      <c r="I88" s="1956"/>
      <c r="J88" s="49">
        <f>SUM(1/J89*J87)</f>
        <v>0.36486486486486491</v>
      </c>
      <c r="K88" s="50">
        <f>SUM(1/J89*K87)</f>
        <v>0.60810810810810811</v>
      </c>
      <c r="L88" s="50">
        <f>SUM(1/J89*L87)</f>
        <v>2.7027027027027029E-2</v>
      </c>
      <c r="M88" s="50">
        <f>SUM(1/J89*M87)</f>
        <v>0</v>
      </c>
      <c r="N88" s="51">
        <f>SUM(1/J89*N87)</f>
        <v>0</v>
      </c>
    </row>
    <row r="89" spans="1:20" s="103" customFormat="1" ht="45.75" thickBot="1" x14ac:dyDescent="0.3">
      <c r="A89" s="1965"/>
      <c r="B89" s="48" t="s">
        <v>7</v>
      </c>
      <c r="C89" s="1509" t="e">
        <f>SUM(C88*10.7639)</f>
        <v>#REF!</v>
      </c>
      <c r="D89" s="1510"/>
      <c r="E89" s="1510"/>
      <c r="F89" s="1510"/>
      <c r="G89" s="1510"/>
      <c r="H89" s="1510"/>
      <c r="I89" s="1511"/>
      <c r="J89" s="1957">
        <f>SUM(J87:N87)</f>
        <v>74</v>
      </c>
      <c r="K89" s="1958"/>
      <c r="L89" s="1958"/>
      <c r="M89" s="1958"/>
      <c r="N89" s="1959"/>
    </row>
    <row r="90" spans="1:20" s="103" customFormat="1" ht="15.75" thickBot="1" x14ac:dyDescent="0.3">
      <c r="P90" s="1976" t="s">
        <v>50</v>
      </c>
      <c r="Q90" s="1977"/>
      <c r="R90" s="1977"/>
      <c r="S90" s="1977"/>
      <c r="T90" s="1978"/>
    </row>
    <row r="91" spans="1:20" s="103" customFormat="1" ht="38.25" customHeight="1" x14ac:dyDescent="0.25">
      <c r="P91" s="157"/>
      <c r="Q91" s="166" t="s">
        <v>51</v>
      </c>
      <c r="R91" s="166" t="s">
        <v>16</v>
      </c>
      <c r="S91" s="167" t="s">
        <v>17</v>
      </c>
      <c r="T91" s="158" t="s">
        <v>52</v>
      </c>
    </row>
    <row r="92" spans="1:20" s="103" customFormat="1" x14ac:dyDescent="0.25">
      <c r="P92" s="155" t="s">
        <v>28</v>
      </c>
      <c r="Q92" s="103">
        <f t="shared" ref="Q92:S94" si="5">SUM(Q64,Q54,Q17,Q7)</f>
        <v>0</v>
      </c>
      <c r="R92" s="103">
        <f t="shared" si="5"/>
        <v>0</v>
      </c>
      <c r="S92" s="70">
        <f t="shared" si="5"/>
        <v>27</v>
      </c>
      <c r="T92" s="71">
        <f>SUM(Q92:S92)</f>
        <v>27</v>
      </c>
    </row>
    <row r="93" spans="1:20" s="103" customFormat="1" x14ac:dyDescent="0.25">
      <c r="P93" s="155" t="s">
        <v>29</v>
      </c>
      <c r="Q93" s="103">
        <f t="shared" si="5"/>
        <v>2</v>
      </c>
      <c r="R93" s="103">
        <f t="shared" si="5"/>
        <v>40</v>
      </c>
      <c r="S93" s="70">
        <f t="shared" si="5"/>
        <v>3</v>
      </c>
      <c r="T93" s="71">
        <f>SUM(Q93:S93)</f>
        <v>45</v>
      </c>
    </row>
    <row r="94" spans="1:20" s="103" customFormat="1" ht="15.75" thickBot="1" x14ac:dyDescent="0.3">
      <c r="P94" s="165" t="s">
        <v>30</v>
      </c>
      <c r="Q94" s="161">
        <f t="shared" si="5"/>
        <v>1</v>
      </c>
      <c r="R94" s="161">
        <f t="shared" si="5"/>
        <v>0</v>
      </c>
      <c r="S94" s="162">
        <f t="shared" si="5"/>
        <v>1</v>
      </c>
      <c r="T94" s="71">
        <f>SUM(Q94:S94)</f>
        <v>2</v>
      </c>
    </row>
    <row r="95" spans="1:20" s="103" customFormat="1" ht="15.75" thickBot="1" x14ac:dyDescent="0.3">
      <c r="P95" s="156" t="s">
        <v>52</v>
      </c>
      <c r="Q95" s="154">
        <f>SUM(Q92:Q94)</f>
        <v>3</v>
      </c>
      <c r="R95" s="154">
        <f>SUM(R92:R94)</f>
        <v>40</v>
      </c>
      <c r="S95" s="154">
        <f>SUM(S92:S94)</f>
        <v>31</v>
      </c>
      <c r="T95" s="153">
        <f>SUM(Q95:S95)</f>
        <v>74</v>
      </c>
    </row>
    <row r="96" spans="1:20" s="103" customFormat="1" x14ac:dyDescent="0.25"/>
    <row r="97" s="103" customFormat="1" x14ac:dyDescent="0.25"/>
    <row r="98" s="103" customFormat="1" x14ac:dyDescent="0.25"/>
    <row r="99" s="103" customFormat="1" ht="15" customHeight="1" x14ac:dyDescent="0.25"/>
    <row r="100" s="103" customFormat="1" x14ac:dyDescent="0.25"/>
    <row r="101" s="103" customFormat="1" x14ac:dyDescent="0.25"/>
    <row r="102" s="103" customFormat="1" x14ac:dyDescent="0.25"/>
    <row r="103" s="103" customFormat="1" x14ac:dyDescent="0.25"/>
    <row r="104" s="103" customFormat="1" x14ac:dyDescent="0.25"/>
    <row r="105" s="103" customFormat="1" x14ac:dyDescent="0.25"/>
    <row r="106" s="103" customFormat="1" x14ac:dyDescent="0.25"/>
    <row r="107" s="103" customFormat="1" x14ac:dyDescent="0.25"/>
    <row r="108" s="103" customFormat="1" x14ac:dyDescent="0.25"/>
    <row r="109" s="103" customFormat="1" x14ac:dyDescent="0.25"/>
    <row r="110" s="103" customFormat="1" x14ac:dyDescent="0.25"/>
    <row r="111" s="103" customFormat="1" x14ac:dyDescent="0.25"/>
  </sheetData>
  <mergeCells count="21">
    <mergeCell ref="P15:T15"/>
    <mergeCell ref="P5:T5"/>
    <mergeCell ref="P90:T90"/>
    <mergeCell ref="P62:T62"/>
    <mergeCell ref="A87:A89"/>
    <mergeCell ref="C88:I88"/>
    <mergeCell ref="C89:I89"/>
    <mergeCell ref="J89:N89"/>
    <mergeCell ref="P52:T52"/>
    <mergeCell ref="A1:A2"/>
    <mergeCell ref="B1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N4"/>
  </mergeCells>
  <pageMargins left="0.7" right="0.7" top="0.75" bottom="0.75" header="0.3" footer="0.3"/>
  <pageSetup paperSize="8" scale="6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27DA-54B0-4513-9382-D6511A17A226}">
  <sheetPr>
    <pageSetUpPr fitToPage="1"/>
  </sheetPr>
  <dimension ref="A1:AG443"/>
  <sheetViews>
    <sheetView zoomScale="70" zoomScaleNormal="70" workbookViewId="0">
      <pane ySplit="1305" topLeftCell="A11" activePane="bottomLeft"/>
      <selection activeCell="S21" sqref="S21"/>
      <selection pane="bottomLeft" activeCell="S11" sqref="S11"/>
    </sheetView>
  </sheetViews>
  <sheetFormatPr defaultColWidth="9.140625" defaultRowHeight="17.25" x14ac:dyDescent="0.35"/>
  <cols>
    <col min="1" max="1" width="16.7109375" style="2" customWidth="1"/>
    <col min="2" max="2" width="16.7109375" style="284" customWidth="1"/>
    <col min="3" max="3" width="15.140625" style="2" customWidth="1"/>
    <col min="4" max="5" width="18.42578125" style="2" customWidth="1"/>
    <col min="6" max="7" width="12.7109375" style="2" customWidth="1"/>
    <col min="8" max="8" width="13.140625" style="2" customWidth="1"/>
    <col min="9" max="9" width="12.140625" style="2" customWidth="1"/>
    <col min="10" max="10" width="19.140625" style="2" customWidth="1"/>
    <col min="11" max="11" width="19.140625" style="25" bestFit="1" customWidth="1"/>
    <col min="12" max="12" width="11.28515625" style="2" customWidth="1"/>
    <col min="13" max="13" width="12.7109375" style="2" bestFit="1" customWidth="1"/>
    <col min="14" max="14" width="12.28515625" style="2" customWidth="1"/>
    <col min="15" max="15" width="10.5703125" style="2" bestFit="1" customWidth="1"/>
    <col min="16" max="16" width="9.140625" style="2"/>
    <col min="17" max="17" width="17.28515625" style="2" customWidth="1"/>
    <col min="18" max="20" width="15.7109375" style="2" customWidth="1"/>
    <col min="21" max="24" width="9.140625" style="2"/>
    <col min="25" max="25" width="9.140625" style="2" customWidth="1"/>
    <col min="26" max="26" width="12" style="2" customWidth="1"/>
    <col min="27" max="27" width="11.85546875" style="2" customWidth="1"/>
    <col min="28" max="16384" width="9.140625" style="2"/>
  </cols>
  <sheetData>
    <row r="1" spans="1:33" ht="16.5" customHeight="1" x14ac:dyDescent="0.3">
      <c r="A1" s="1301" t="s">
        <v>84</v>
      </c>
      <c r="B1" s="1302"/>
      <c r="C1" s="1302"/>
      <c r="D1" s="1302"/>
      <c r="E1" s="1302"/>
      <c r="F1" s="1302"/>
      <c r="G1" s="1302"/>
      <c r="H1" s="1302"/>
      <c r="I1" s="1302"/>
      <c r="J1" s="1302"/>
      <c r="K1" s="1302"/>
      <c r="L1" s="1302"/>
      <c r="M1" s="1302"/>
      <c r="N1" s="1302"/>
      <c r="O1" s="1302"/>
      <c r="P1" s="1302"/>
      <c r="Q1" s="1302"/>
      <c r="R1" s="1302"/>
      <c r="S1" s="1303"/>
    </row>
    <row r="2" spans="1:33" ht="17.25" customHeight="1" thickBot="1" x14ac:dyDescent="0.35">
      <c r="A2" s="1304"/>
      <c r="B2" s="1305"/>
      <c r="C2" s="1305"/>
      <c r="D2" s="1305"/>
      <c r="E2" s="1305"/>
      <c r="F2" s="1305"/>
      <c r="G2" s="1305"/>
      <c r="H2" s="1305"/>
      <c r="I2" s="1305"/>
      <c r="J2" s="1305"/>
      <c r="K2" s="1305"/>
      <c r="L2" s="1305"/>
      <c r="M2" s="1305"/>
      <c r="N2" s="1305"/>
      <c r="O2" s="1305"/>
      <c r="P2" s="1305"/>
      <c r="Q2" s="1305"/>
      <c r="R2" s="1305"/>
      <c r="S2" s="1306"/>
    </row>
    <row r="3" spans="1:33" ht="45.75" customHeight="1" thickBot="1" x14ac:dyDescent="0.35">
      <c r="A3" s="1481" t="s">
        <v>124</v>
      </c>
      <c r="B3" s="1405" t="s">
        <v>0</v>
      </c>
      <c r="C3" s="1407" t="s">
        <v>4</v>
      </c>
      <c r="D3" s="19" t="s">
        <v>18</v>
      </c>
      <c r="E3" s="1415" t="s">
        <v>15</v>
      </c>
      <c r="F3" s="1415" t="s">
        <v>174</v>
      </c>
      <c r="G3" s="1415" t="s">
        <v>71</v>
      </c>
      <c r="H3" s="1415" t="s">
        <v>16</v>
      </c>
      <c r="I3" s="1417" t="s">
        <v>17</v>
      </c>
      <c r="J3" s="1413" t="s">
        <v>61</v>
      </c>
      <c r="K3" s="1409" t="s">
        <v>2</v>
      </c>
      <c r="L3" s="1409"/>
      <c r="M3" s="1409"/>
      <c r="N3" s="1409"/>
      <c r="O3" s="1410"/>
      <c r="P3" s="1424" t="s">
        <v>163</v>
      </c>
      <c r="Q3" s="1424" t="s">
        <v>165</v>
      </c>
      <c r="R3" s="1299" t="s">
        <v>125</v>
      </c>
      <c r="S3" s="1300"/>
    </row>
    <row r="4" spans="1:33" ht="20.100000000000001" customHeight="1" thickBot="1" x14ac:dyDescent="0.35">
      <c r="A4" s="1482"/>
      <c r="B4" s="1406"/>
      <c r="C4" s="1408"/>
      <c r="D4" s="20"/>
      <c r="E4" s="1416"/>
      <c r="F4" s="1416"/>
      <c r="G4" s="1416"/>
      <c r="H4" s="1416"/>
      <c r="I4" s="1418"/>
      <c r="J4" s="1414"/>
      <c r="K4" s="1411"/>
      <c r="L4" s="1411"/>
      <c r="M4" s="1411"/>
      <c r="N4" s="1411"/>
      <c r="O4" s="1412"/>
      <c r="P4" s="1425"/>
      <c r="Q4" s="1425"/>
      <c r="R4" s="1119" t="s">
        <v>768</v>
      </c>
      <c r="S4" s="1119" t="s">
        <v>769</v>
      </c>
    </row>
    <row r="5" spans="1:33" ht="18" thickTop="1" thickBot="1" x14ac:dyDescent="0.35">
      <c r="A5" s="357"/>
      <c r="B5" s="292"/>
      <c r="C5" s="288"/>
      <c r="D5" s="288"/>
      <c r="E5" s="288"/>
      <c r="F5" s="288"/>
      <c r="G5" s="289"/>
      <c r="H5" s="289"/>
      <c r="I5" s="289"/>
      <c r="J5" s="293"/>
      <c r="K5" s="291">
        <v>1</v>
      </c>
      <c r="L5" s="290">
        <v>2</v>
      </c>
      <c r="M5" s="290">
        <v>3</v>
      </c>
      <c r="N5" s="290">
        <v>4</v>
      </c>
      <c r="O5" s="290">
        <v>5</v>
      </c>
      <c r="P5" s="357"/>
      <c r="Q5" s="357"/>
      <c r="R5" s="357"/>
      <c r="S5" s="357"/>
      <c r="V5" s="1421" t="s">
        <v>50</v>
      </c>
      <c r="W5" s="1422"/>
      <c r="X5" s="1422"/>
      <c r="Y5" s="1422"/>
      <c r="Z5" s="1422"/>
      <c r="AA5" s="1422"/>
      <c r="AB5" s="1423"/>
      <c r="AC5" s="382"/>
    </row>
    <row r="6" spans="1:33" x14ac:dyDescent="0.35">
      <c r="A6" s="1492" t="s">
        <v>118</v>
      </c>
      <c r="B6" s="294">
        <v>1</v>
      </c>
      <c r="C6" s="28">
        <v>65</v>
      </c>
      <c r="D6" s="29">
        <f t="shared" ref="D6:D24" si="0">SUM(C6*10.7639)</f>
        <v>699.65350000000001</v>
      </c>
      <c r="E6" s="287"/>
      <c r="F6" s="287"/>
      <c r="G6" s="277" t="s">
        <v>8</v>
      </c>
      <c r="H6" s="277"/>
      <c r="I6" s="278"/>
      <c r="J6" s="279" t="s">
        <v>63</v>
      </c>
      <c r="K6" s="280"/>
      <c r="L6" s="277" t="s">
        <v>8</v>
      </c>
      <c r="M6" s="277"/>
      <c r="N6" s="277"/>
      <c r="O6" s="281"/>
      <c r="P6" s="351"/>
      <c r="Q6" s="358" t="s">
        <v>166</v>
      </c>
      <c r="R6" s="351" t="s">
        <v>8</v>
      </c>
      <c r="S6" s="351"/>
      <c r="V6" s="165"/>
      <c r="W6" s="161" t="s">
        <v>60</v>
      </c>
      <c r="X6" s="385" t="s">
        <v>192</v>
      </c>
      <c r="Y6" s="460" t="s">
        <v>78</v>
      </c>
      <c r="Z6" s="161" t="s">
        <v>55</v>
      </c>
      <c r="AA6" s="162" t="s">
        <v>56</v>
      </c>
      <c r="AB6" s="383" t="s">
        <v>52</v>
      </c>
      <c r="AD6" s="489" t="s">
        <v>251</v>
      </c>
      <c r="AF6" s="483" t="s">
        <v>252</v>
      </c>
      <c r="AG6" s="483" t="s">
        <v>56</v>
      </c>
    </row>
    <row r="7" spans="1:33" x14ac:dyDescent="0.35">
      <c r="A7" s="1434"/>
      <c r="B7" s="295">
        <v>2</v>
      </c>
      <c r="C7" s="23">
        <v>103</v>
      </c>
      <c r="D7" s="24">
        <f t="shared" si="0"/>
        <v>1108.6816999999999</v>
      </c>
      <c r="E7" s="272"/>
      <c r="F7" s="272"/>
      <c r="G7" s="272" t="s">
        <v>8</v>
      </c>
      <c r="H7" s="272"/>
      <c r="I7" s="273"/>
      <c r="J7" s="274" t="s">
        <v>63</v>
      </c>
      <c r="K7" s="275"/>
      <c r="L7" s="272"/>
      <c r="M7" s="272" t="s">
        <v>8</v>
      </c>
      <c r="N7" s="272"/>
      <c r="O7" s="276"/>
      <c r="P7" s="349"/>
      <c r="Q7" s="359" t="s">
        <v>166</v>
      </c>
      <c r="R7" s="352" t="s">
        <v>8</v>
      </c>
      <c r="S7" s="352"/>
      <c r="V7" s="155" t="s">
        <v>28</v>
      </c>
      <c r="W7" s="103" cm="1">
        <f t="array" ref="W7">SUM(IF((E6:E353="Y")*(K6:K353="Y"), 1, 0))</f>
        <v>0</v>
      </c>
      <c r="X7" s="103">
        <f>SUM(IF((F6:F353="Y")*(K6:K353="Y"), 1, 0))</f>
        <v>0</v>
      </c>
      <c r="Y7" s="103" cm="1">
        <f t="array" ref="Y7">SUM(IF((G6:G353="Y")*(K6:K353="Y"), 1, 0))</f>
        <v>23</v>
      </c>
      <c r="Z7" s="103" cm="1">
        <f t="array" ref="Z7">SUM(IF((H6:H353="Y")*(K6:K353="Y"), 1, 0))</f>
        <v>5</v>
      </c>
      <c r="AA7" s="70" cm="1">
        <f t="array" ref="AA7">SUM(IF((I6:I353="Y")*(K6:K353="Y"), 1, 0))</f>
        <v>111</v>
      </c>
      <c r="AB7" s="71">
        <f>SUM(W7:AA7)</f>
        <v>139</v>
      </c>
      <c r="AD7" s="481">
        <v>64</v>
      </c>
      <c r="AF7" s="483">
        <v>9</v>
      </c>
      <c r="AG7" s="483">
        <v>55</v>
      </c>
    </row>
    <row r="8" spans="1:33" x14ac:dyDescent="0.35">
      <c r="A8" s="1434"/>
      <c r="B8" s="295">
        <v>3</v>
      </c>
      <c r="C8" s="23">
        <v>83.5</v>
      </c>
      <c r="D8" s="24">
        <f t="shared" si="0"/>
        <v>898.78564999999992</v>
      </c>
      <c r="E8" s="272" t="s">
        <v>8</v>
      </c>
      <c r="F8" s="272"/>
      <c r="G8" s="272"/>
      <c r="H8" s="272"/>
      <c r="I8" s="273"/>
      <c r="J8" s="274" t="s">
        <v>64</v>
      </c>
      <c r="K8" s="275"/>
      <c r="L8" s="272" t="s">
        <v>8</v>
      </c>
      <c r="M8" s="272"/>
      <c r="N8" s="272"/>
      <c r="O8" s="276"/>
      <c r="P8" s="349"/>
      <c r="Q8" s="358" t="s">
        <v>166</v>
      </c>
      <c r="R8" s="349" t="s">
        <v>8</v>
      </c>
      <c r="S8" s="352"/>
      <c r="V8" s="155" t="s">
        <v>29</v>
      </c>
      <c r="W8" s="103" cm="1">
        <f t="array" ref="W8">SUM(IF((E6:E353="Y")*(L6:L353="Y"), 1, 0))</f>
        <v>44</v>
      </c>
      <c r="X8" s="103" cm="1">
        <f t="array" ref="X8">SUM(IF((F6:F353="Y")*(L6:L353="Y"), 1, 0))</f>
        <v>3</v>
      </c>
      <c r="Y8" s="103" cm="1">
        <f t="array" ref="Y8">SUM(IF((G6:G353="Y")*(L6:L353="Y"), 1, 0))</f>
        <v>23</v>
      </c>
      <c r="Z8" s="103" cm="1">
        <f t="array" ref="Z8">SUM(IF((H6:H353="Y")*(L6:L353="Y"), 1, 0))</f>
        <v>20</v>
      </c>
      <c r="AA8" s="70" cm="1">
        <f t="array" ref="AA8">SUM(IF((I6:I353="Y")*(L6:L353="Y"), 1, 0))</f>
        <v>6</v>
      </c>
      <c r="AB8" s="71">
        <f>SUM(W8:AA8)</f>
        <v>96</v>
      </c>
    </row>
    <row r="9" spans="1:33" x14ac:dyDescent="0.35">
      <c r="A9" s="1434"/>
      <c r="B9" s="295">
        <v>4</v>
      </c>
      <c r="C9" s="23">
        <v>97.7</v>
      </c>
      <c r="D9" s="24">
        <f t="shared" si="0"/>
        <v>1051.63303</v>
      </c>
      <c r="E9" s="272" t="s">
        <v>8</v>
      </c>
      <c r="F9" s="272"/>
      <c r="G9" s="272"/>
      <c r="H9" s="272"/>
      <c r="I9" s="273"/>
      <c r="J9" s="274" t="s">
        <v>64</v>
      </c>
      <c r="K9" s="275"/>
      <c r="L9" s="272" t="s">
        <v>8</v>
      </c>
      <c r="M9" s="272"/>
      <c r="N9" s="272"/>
      <c r="O9" s="276"/>
      <c r="P9" s="349"/>
      <c r="Q9" s="1110" t="s">
        <v>166</v>
      </c>
      <c r="R9" s="349" t="s">
        <v>8</v>
      </c>
      <c r="S9" s="352"/>
      <c r="V9" s="155" t="s">
        <v>30</v>
      </c>
      <c r="W9" s="103" cm="1">
        <f t="array" ref="W9">SUM(IF((E6:E353="Y")*(M6:M353="Y"), 1, 0))</f>
        <v>47</v>
      </c>
      <c r="X9" s="103" cm="1">
        <f t="array" ref="X9">SUM(IF((F6:F353="Y")*(N6:N353="Y"), 1, 0))</f>
        <v>0</v>
      </c>
      <c r="Y9" s="103" cm="1">
        <f t="array" ref="Y9">SUM(IF((G6:G353="Y")*(M6:M353="Y"), 1, 0))</f>
        <v>18</v>
      </c>
      <c r="Z9" s="103" cm="1">
        <f t="array" ref="Z9">SUM(IF((H6:H353="Y")*(M6:M353="Y"), 1, 0))</f>
        <v>2</v>
      </c>
      <c r="AA9" s="70" cm="1">
        <f t="array" ref="AA9">SUM(IF((I6:I353="Y")*(M6:M353="Y"), 1, 0))</f>
        <v>2</v>
      </c>
      <c r="AB9" s="71">
        <f>SUM(W9:AA9)</f>
        <v>69</v>
      </c>
    </row>
    <row r="10" spans="1:33" ht="18" thickBot="1" x14ac:dyDescent="0.4">
      <c r="A10" s="1434"/>
      <c r="B10" s="295">
        <v>5</v>
      </c>
      <c r="C10" s="23">
        <v>70.2</v>
      </c>
      <c r="D10" s="24">
        <f t="shared" si="0"/>
        <v>755.62577999999996</v>
      </c>
      <c r="E10" s="272" t="s">
        <v>8</v>
      </c>
      <c r="F10" s="272"/>
      <c r="G10" s="272"/>
      <c r="H10" s="272"/>
      <c r="I10" s="273"/>
      <c r="J10" s="274" t="s">
        <v>64</v>
      </c>
      <c r="K10" s="275"/>
      <c r="L10" s="272" t="s">
        <v>8</v>
      </c>
      <c r="M10" s="272"/>
      <c r="N10" s="272"/>
      <c r="O10" s="276"/>
      <c r="P10" s="350"/>
      <c r="Q10" s="1110" t="s">
        <v>166</v>
      </c>
      <c r="R10" s="351" t="s">
        <v>8</v>
      </c>
      <c r="S10" s="349"/>
      <c r="V10" s="165" t="s">
        <v>62</v>
      </c>
      <c r="W10" s="161" cm="1">
        <f t="array" ref="W10">SUM(IF((E6:E353="Y")*(N6:N353="Y"), 1, 0))</f>
        <v>13</v>
      </c>
      <c r="X10" s="161" cm="1">
        <f t="array" ref="X10">SUM(IF((F6:F353="Y")*(O6:O353="Y"), 1, 0))</f>
        <v>0</v>
      </c>
      <c r="Y10" s="161" cm="1">
        <f t="array" ref="Y10">SUM(IF((G6:G353="Y")*(N6:N353="Y"), 1, 0))</f>
        <v>0</v>
      </c>
      <c r="Z10" s="161" cm="1">
        <f t="array" ref="Z10">SUM(IF((H6:H353="Y")*(N6:N353="Y"), 1, 0))</f>
        <v>0</v>
      </c>
      <c r="AA10" s="161" cm="1">
        <f t="array" ref="AA10">SUM(IF((I6:I353="Y")*(N6:N353="Y"), 1, 0))</f>
        <v>0</v>
      </c>
      <c r="AB10" s="172">
        <f>SUM(W10:AA10)</f>
        <v>13</v>
      </c>
    </row>
    <row r="11" spans="1:33" ht="18" thickBot="1" x14ac:dyDescent="0.4">
      <c r="A11" s="1426" t="s">
        <v>44</v>
      </c>
      <c r="B11" s="295">
        <v>6</v>
      </c>
      <c r="C11" s="23">
        <v>100.6</v>
      </c>
      <c r="D11" s="24">
        <f t="shared" si="0"/>
        <v>1082.84834</v>
      </c>
      <c r="E11" s="272" t="s">
        <v>8</v>
      </c>
      <c r="F11" s="272"/>
      <c r="G11" s="272"/>
      <c r="H11" s="272"/>
      <c r="I11" s="273"/>
      <c r="J11" s="274" t="s">
        <v>159</v>
      </c>
      <c r="K11" s="275"/>
      <c r="L11" s="272"/>
      <c r="M11" s="272" t="s">
        <v>8</v>
      </c>
      <c r="N11" s="272"/>
      <c r="O11" s="276"/>
      <c r="P11" s="351"/>
      <c r="Q11" s="1110" t="s">
        <v>166</v>
      </c>
      <c r="R11" s="349" t="s">
        <v>8</v>
      </c>
      <c r="S11" s="351"/>
      <c r="V11" s="156" t="s">
        <v>52</v>
      </c>
      <c r="W11" s="154">
        <f>SUM(W7:W10)</f>
        <v>104</v>
      </c>
      <c r="X11" s="428">
        <f>SUM(X8:X10)</f>
        <v>3</v>
      </c>
      <c r="Y11" s="154">
        <f>SUM(Y7:Y10)</f>
        <v>64</v>
      </c>
      <c r="Z11" s="154">
        <f>SUM(Z7:Z10)</f>
        <v>27</v>
      </c>
      <c r="AA11" s="154">
        <f>SUM(AA7:AA10)</f>
        <v>119</v>
      </c>
      <c r="AB11" s="153">
        <f>SUM(W11:AA11)</f>
        <v>317</v>
      </c>
    </row>
    <row r="12" spans="1:33" ht="18" thickBot="1" x14ac:dyDescent="0.4">
      <c r="A12" s="1426"/>
      <c r="B12" s="295">
        <v>7</v>
      </c>
      <c r="C12" s="23">
        <v>79.8</v>
      </c>
      <c r="D12" s="24">
        <f t="shared" si="0"/>
        <v>858.95921999999996</v>
      </c>
      <c r="E12" s="272" t="s">
        <v>8</v>
      </c>
      <c r="F12" s="272"/>
      <c r="G12" s="272"/>
      <c r="H12" s="272"/>
      <c r="I12" s="273"/>
      <c r="J12" s="274" t="s">
        <v>159</v>
      </c>
      <c r="K12" s="275"/>
      <c r="L12" s="272" t="s">
        <v>8</v>
      </c>
      <c r="M12" s="272"/>
      <c r="N12" s="272"/>
      <c r="O12" s="276"/>
      <c r="P12" s="349"/>
      <c r="Q12" s="359" t="s">
        <v>166</v>
      </c>
      <c r="R12" s="351" t="s">
        <v>8</v>
      </c>
      <c r="S12" s="349"/>
    </row>
    <row r="13" spans="1:33" ht="18" thickBot="1" x14ac:dyDescent="0.4">
      <c r="A13" s="1426"/>
      <c r="B13" s="1419">
        <v>8</v>
      </c>
      <c r="C13" s="1362">
        <v>140.19999999999999</v>
      </c>
      <c r="D13" s="1364">
        <f>SUM(C13*10.7639)</f>
        <v>1509.0987799999998</v>
      </c>
      <c r="E13" s="1356" t="s">
        <v>8</v>
      </c>
      <c r="F13" s="1354"/>
      <c r="G13" s="1354"/>
      <c r="H13" s="1354"/>
      <c r="I13" s="1375"/>
      <c r="J13" s="274" t="s">
        <v>159</v>
      </c>
      <c r="K13" s="1377"/>
      <c r="L13" s="1354"/>
      <c r="M13" s="1354"/>
      <c r="N13" s="1356" t="s">
        <v>8</v>
      </c>
      <c r="O13" s="1394"/>
      <c r="P13" s="1320"/>
      <c r="Q13" s="1366" t="s">
        <v>167</v>
      </c>
      <c r="R13" s="1297" t="s">
        <v>8</v>
      </c>
      <c r="S13" s="1297"/>
      <c r="V13" s="1403" t="s">
        <v>68</v>
      </c>
      <c r="W13" s="1404"/>
      <c r="X13" s="1404"/>
      <c r="Y13" s="1402"/>
      <c r="AA13" s="1346" t="s">
        <v>68</v>
      </c>
      <c r="AB13" s="1347"/>
      <c r="AC13" s="1347"/>
      <c r="AD13" s="1347"/>
      <c r="AE13" s="1348"/>
    </row>
    <row r="14" spans="1:33" x14ac:dyDescent="0.35">
      <c r="A14" s="1426"/>
      <c r="B14" s="1420"/>
      <c r="C14" s="1363"/>
      <c r="D14" s="1365"/>
      <c r="E14" s="1357"/>
      <c r="F14" s="1355"/>
      <c r="G14" s="1355"/>
      <c r="H14" s="1355"/>
      <c r="I14" s="1376"/>
      <c r="J14" s="274" t="s">
        <v>63</v>
      </c>
      <c r="K14" s="1378"/>
      <c r="L14" s="1355"/>
      <c r="M14" s="1355"/>
      <c r="N14" s="1357"/>
      <c r="O14" s="1395"/>
      <c r="P14" s="1321"/>
      <c r="Q14" s="1374"/>
      <c r="R14" s="1322"/>
      <c r="S14" s="1298"/>
      <c r="V14" s="1343" t="s">
        <v>70</v>
      </c>
      <c r="W14" s="1345"/>
      <c r="X14" s="1396" t="s">
        <v>69</v>
      </c>
      <c r="Y14" s="1340"/>
      <c r="AA14" s="1343" t="s">
        <v>70</v>
      </c>
      <c r="AB14" s="1344"/>
      <c r="AC14" s="1345"/>
      <c r="AD14" s="1339" t="s">
        <v>328</v>
      </c>
      <c r="AE14" s="1340"/>
    </row>
    <row r="15" spans="1:33" ht="17.25" customHeight="1" x14ac:dyDescent="0.35">
      <c r="A15" s="1426"/>
      <c r="B15" s="295">
        <v>9</v>
      </c>
      <c r="C15" s="23">
        <v>85</v>
      </c>
      <c r="D15" s="24">
        <f t="shared" si="0"/>
        <v>914.93149999999991</v>
      </c>
      <c r="E15" s="272"/>
      <c r="F15" s="272"/>
      <c r="G15" s="272" t="s">
        <v>8</v>
      </c>
      <c r="H15" s="272"/>
      <c r="I15" s="273"/>
      <c r="J15" s="274" t="s">
        <v>63</v>
      </c>
      <c r="K15" s="275"/>
      <c r="L15" s="272" t="s">
        <v>8</v>
      </c>
      <c r="M15" s="272"/>
      <c r="N15" s="272"/>
      <c r="O15" s="276"/>
      <c r="P15" s="349"/>
      <c r="Q15" s="1110" t="s">
        <v>166</v>
      </c>
      <c r="R15" s="352" t="s">
        <v>8</v>
      </c>
      <c r="S15" s="349"/>
      <c r="V15" s="1397" t="s">
        <v>159</v>
      </c>
      <c r="W15" s="1398"/>
      <c r="X15" s="1399">
        <f>COUNTIF(J6:J353,"Private Front Garden")</f>
        <v>34</v>
      </c>
      <c r="Y15" s="1400"/>
      <c r="AA15" s="1334" t="s">
        <v>147</v>
      </c>
      <c r="AB15" s="1335"/>
      <c r="AC15" s="1335"/>
      <c r="AD15" s="1341">
        <f>B442</f>
        <v>9750.6989999999987</v>
      </c>
      <c r="AE15" s="1342"/>
    </row>
    <row r="16" spans="1:33" ht="17.25" customHeight="1" x14ac:dyDescent="0.35">
      <c r="A16" s="1426"/>
      <c r="B16" s="295">
        <v>10</v>
      </c>
      <c r="C16" s="23">
        <v>54.5</v>
      </c>
      <c r="D16" s="24">
        <f t="shared" si="0"/>
        <v>586.63254999999992</v>
      </c>
      <c r="E16" s="272"/>
      <c r="F16" s="272"/>
      <c r="G16" s="272" t="s">
        <v>8</v>
      </c>
      <c r="H16" s="272"/>
      <c r="I16" s="273"/>
      <c r="J16" s="274" t="s">
        <v>63</v>
      </c>
      <c r="K16" s="275" t="s">
        <v>8</v>
      </c>
      <c r="L16" s="272"/>
      <c r="M16" s="272"/>
      <c r="N16" s="272"/>
      <c r="O16" s="276"/>
      <c r="P16" s="351"/>
      <c r="Q16" s="359" t="s">
        <v>166</v>
      </c>
      <c r="R16" s="352" t="s">
        <v>8</v>
      </c>
      <c r="S16" s="351"/>
      <c r="V16" s="1334" t="s">
        <v>160</v>
      </c>
      <c r="W16" s="1336"/>
      <c r="X16" s="1392">
        <f>COUNTIF(J6:J353,"Private Rear Garden")</f>
        <v>9</v>
      </c>
      <c r="Y16" s="1327"/>
      <c r="AA16" s="1334" t="s">
        <v>220</v>
      </c>
      <c r="AB16" s="1335"/>
      <c r="AC16" s="1336"/>
      <c r="AD16" s="1325">
        <f>C442</f>
        <v>24924.857399999997</v>
      </c>
      <c r="AE16" s="1327"/>
    </row>
    <row r="17" spans="1:31" ht="17.25" customHeight="1" x14ac:dyDescent="0.35">
      <c r="A17" s="1426"/>
      <c r="B17" s="295">
        <v>11</v>
      </c>
      <c r="C17" s="23">
        <v>86.1</v>
      </c>
      <c r="D17" s="24">
        <f t="shared" si="0"/>
        <v>926.7717899999999</v>
      </c>
      <c r="E17" s="272"/>
      <c r="F17" s="272"/>
      <c r="G17" s="272" t="s">
        <v>8</v>
      </c>
      <c r="H17" s="272"/>
      <c r="I17" s="273"/>
      <c r="J17" s="274" t="s">
        <v>63</v>
      </c>
      <c r="K17" s="275"/>
      <c r="L17" s="272" t="s">
        <v>8</v>
      </c>
      <c r="M17" s="272"/>
      <c r="N17" s="272"/>
      <c r="O17" s="276"/>
      <c r="P17" s="349"/>
      <c r="Q17" s="359" t="s">
        <v>166</v>
      </c>
      <c r="R17" s="352" t="s">
        <v>8</v>
      </c>
      <c r="S17" s="352"/>
      <c r="V17" s="1330" t="s">
        <v>67</v>
      </c>
      <c r="W17" s="1332"/>
      <c r="X17" s="1392">
        <f>COUNTIF(J6:J353,"Shared Garden")</f>
        <v>12</v>
      </c>
      <c r="Y17" s="1327"/>
      <c r="AA17" s="610" t="s">
        <v>148</v>
      </c>
      <c r="AB17" s="218"/>
      <c r="AD17" s="1325">
        <f>D442</f>
        <v>4981.0220999999992</v>
      </c>
      <c r="AE17" s="1327"/>
    </row>
    <row r="18" spans="1:31" ht="17.25" customHeight="1" x14ac:dyDescent="0.35">
      <c r="A18" s="1426"/>
      <c r="B18" s="295">
        <v>12</v>
      </c>
      <c r="C18" s="23">
        <v>71.5</v>
      </c>
      <c r="D18" s="24">
        <f t="shared" si="0"/>
        <v>769.61884999999995</v>
      </c>
      <c r="E18" s="272" t="s">
        <v>8</v>
      </c>
      <c r="F18" s="272"/>
      <c r="G18" s="272"/>
      <c r="H18" s="272"/>
      <c r="I18" s="273"/>
      <c r="J18" s="274" t="s">
        <v>64</v>
      </c>
      <c r="K18" s="275"/>
      <c r="L18" s="272" t="s">
        <v>8</v>
      </c>
      <c r="M18" s="272"/>
      <c r="N18" s="272"/>
      <c r="O18" s="276"/>
      <c r="P18" s="349"/>
      <c r="Q18" s="359" t="s">
        <v>166</v>
      </c>
      <c r="R18" s="349" t="s">
        <v>8</v>
      </c>
      <c r="S18" s="349"/>
      <c r="V18" s="1330" t="s">
        <v>63</v>
      </c>
      <c r="W18" s="1332"/>
      <c r="X18" s="1392">
        <f>COUNTIF(J6:J353,"Roof Terrace")</f>
        <v>61</v>
      </c>
      <c r="Y18" s="1327"/>
      <c r="AA18" s="1330" t="s">
        <v>149</v>
      </c>
      <c r="AB18" s="1331"/>
      <c r="AC18" s="1332"/>
      <c r="AD18" s="1325">
        <f>E442</f>
        <v>1950.1397999999997</v>
      </c>
      <c r="AE18" s="1326"/>
    </row>
    <row r="19" spans="1:31" ht="17.25" customHeight="1" x14ac:dyDescent="0.35">
      <c r="A19" s="1426"/>
      <c r="B19" s="295">
        <v>13</v>
      </c>
      <c r="C19" s="23">
        <v>105.8</v>
      </c>
      <c r="D19" s="24">
        <f t="shared" si="0"/>
        <v>1138.82062</v>
      </c>
      <c r="E19" s="272" t="s">
        <v>8</v>
      </c>
      <c r="F19" s="272"/>
      <c r="G19" s="272"/>
      <c r="H19" s="272"/>
      <c r="I19" s="273"/>
      <c r="J19" s="274" t="s">
        <v>63</v>
      </c>
      <c r="K19" s="275"/>
      <c r="L19" s="272"/>
      <c r="M19" s="272" t="s">
        <v>8</v>
      </c>
      <c r="N19" s="272"/>
      <c r="O19" s="276"/>
      <c r="P19" s="349"/>
      <c r="Q19" s="359" t="s">
        <v>167</v>
      </c>
      <c r="R19" s="349" t="s">
        <v>8</v>
      </c>
      <c r="S19" s="349"/>
      <c r="V19" s="1334" t="s">
        <v>175</v>
      </c>
      <c r="W19" s="1336"/>
      <c r="X19" s="1392">
        <f>COUNTIF(J6:J353,"Shared Roof Terrace")</f>
        <v>2</v>
      </c>
      <c r="Y19" s="1327"/>
      <c r="AA19" s="1334" t="s">
        <v>329</v>
      </c>
      <c r="AB19" s="1335"/>
      <c r="AC19" s="1336"/>
      <c r="AD19" s="1325">
        <f>F442</f>
        <v>11883.3642</v>
      </c>
      <c r="AE19" s="1327"/>
    </row>
    <row r="20" spans="1:31" x14ac:dyDescent="0.35">
      <c r="A20" s="1426"/>
      <c r="B20" s="295">
        <v>14</v>
      </c>
      <c r="C20" s="23">
        <v>70.599999999999994</v>
      </c>
      <c r="D20" s="24">
        <f t="shared" si="0"/>
        <v>759.93133999999986</v>
      </c>
      <c r="E20" s="272" t="s">
        <v>8</v>
      </c>
      <c r="F20" s="272"/>
      <c r="G20" s="272"/>
      <c r="H20" s="272"/>
      <c r="I20" s="273"/>
      <c r="J20" s="274" t="s">
        <v>159</v>
      </c>
      <c r="K20" s="275"/>
      <c r="L20" s="272" t="s">
        <v>8</v>
      </c>
      <c r="M20" s="272"/>
      <c r="N20" s="272"/>
      <c r="O20" s="276"/>
      <c r="P20" s="349"/>
      <c r="Q20" s="1110" t="s">
        <v>166</v>
      </c>
      <c r="R20" s="351" t="s">
        <v>8</v>
      </c>
      <c r="S20" s="351"/>
      <c r="V20" s="1330" t="s">
        <v>66</v>
      </c>
      <c r="W20" s="1332"/>
      <c r="X20" s="1392">
        <f>COUNTIF(J6:J353,"Balcony")</f>
        <v>64</v>
      </c>
      <c r="Y20" s="1327"/>
      <c r="AA20" s="1330" t="s">
        <v>151</v>
      </c>
      <c r="AB20" s="1331"/>
      <c r="AC20" s="1332"/>
      <c r="AD20" s="1325">
        <f>G442</f>
        <v>7357.5881999999992</v>
      </c>
      <c r="AE20" s="1326"/>
    </row>
    <row r="21" spans="1:31" ht="17.25" customHeight="1" x14ac:dyDescent="0.35">
      <c r="A21" s="1426" t="s">
        <v>118</v>
      </c>
      <c r="B21" s="295">
        <v>15</v>
      </c>
      <c r="C21" s="23">
        <v>99.3</v>
      </c>
      <c r="D21" s="24">
        <f t="shared" si="0"/>
        <v>1068.85527</v>
      </c>
      <c r="E21" s="272" t="s">
        <v>8</v>
      </c>
      <c r="F21" s="272"/>
      <c r="G21" s="272"/>
      <c r="H21" s="272"/>
      <c r="I21" s="273"/>
      <c r="J21" s="274" t="s">
        <v>159</v>
      </c>
      <c r="K21" s="275"/>
      <c r="L21" s="272"/>
      <c r="M21" s="272" t="s">
        <v>8</v>
      </c>
      <c r="N21" s="272"/>
      <c r="O21" s="276"/>
      <c r="P21" s="349" t="s">
        <v>8</v>
      </c>
      <c r="Q21" s="358" t="s">
        <v>166</v>
      </c>
      <c r="R21" s="349" t="s">
        <v>8</v>
      </c>
      <c r="S21" s="349"/>
      <c r="V21" s="1330" t="s">
        <v>64</v>
      </c>
      <c r="W21" s="1332"/>
      <c r="X21" s="1392">
        <f>COUNTIF(J6:J353,"Frontage Amenity")</f>
        <v>36</v>
      </c>
      <c r="Y21" s="1327"/>
      <c r="AA21" s="1330" t="s">
        <v>152</v>
      </c>
      <c r="AB21" s="1331"/>
      <c r="AC21" s="1332"/>
      <c r="AD21" s="1325">
        <f>H442</f>
        <v>4936.7249999999995</v>
      </c>
      <c r="AE21" s="1327"/>
    </row>
    <row r="22" spans="1:31" ht="17.25" customHeight="1" x14ac:dyDescent="0.35">
      <c r="A22" s="1426"/>
      <c r="B22" s="295">
        <v>16</v>
      </c>
      <c r="C22" s="23">
        <v>83.1</v>
      </c>
      <c r="D22" s="24">
        <f t="shared" si="0"/>
        <v>894.4800899999999</v>
      </c>
      <c r="E22" s="272" t="s">
        <v>8</v>
      </c>
      <c r="F22" s="272"/>
      <c r="G22" s="272"/>
      <c r="H22" s="272"/>
      <c r="I22" s="273"/>
      <c r="J22" s="274" t="s">
        <v>63</v>
      </c>
      <c r="K22" s="275"/>
      <c r="L22" s="272" t="s">
        <v>8</v>
      </c>
      <c r="M22" s="272"/>
      <c r="N22" s="272"/>
      <c r="O22" s="276"/>
      <c r="P22" s="350" t="s">
        <v>8</v>
      </c>
      <c r="Q22" s="359" t="s">
        <v>167</v>
      </c>
      <c r="R22" s="349" t="s">
        <v>8</v>
      </c>
      <c r="S22" s="349"/>
      <c r="U22" s="305"/>
      <c r="V22" s="1334" t="s">
        <v>214</v>
      </c>
      <c r="W22" s="1336"/>
      <c r="X22" s="1393">
        <f>COUNTIF(J6:J353,"Side Amenity")</f>
        <v>3</v>
      </c>
      <c r="Y22" s="1329"/>
      <c r="Z22" s="382"/>
      <c r="AA22" s="1334" t="s">
        <v>154</v>
      </c>
      <c r="AB22" s="1335"/>
      <c r="AC22" s="1336"/>
      <c r="AD22" s="1328">
        <f>J442</f>
        <v>4794.7608</v>
      </c>
      <c r="AE22" s="1329"/>
    </row>
    <row r="23" spans="1:31" ht="17.25" customHeight="1" x14ac:dyDescent="0.35">
      <c r="A23" s="1426"/>
      <c r="B23" s="295">
        <v>17</v>
      </c>
      <c r="C23" s="23">
        <v>83.1</v>
      </c>
      <c r="D23" s="24">
        <f t="shared" si="0"/>
        <v>894.4800899999999</v>
      </c>
      <c r="E23" s="272" t="s">
        <v>8</v>
      </c>
      <c r="F23" s="272"/>
      <c r="G23" s="272"/>
      <c r="H23" s="272"/>
      <c r="I23" s="273"/>
      <c r="J23" s="274" t="s">
        <v>63</v>
      </c>
      <c r="K23" s="275"/>
      <c r="L23" s="272" t="s">
        <v>8</v>
      </c>
      <c r="M23" s="272"/>
      <c r="N23" s="272"/>
      <c r="O23" s="276"/>
      <c r="P23" s="351" t="s">
        <v>8</v>
      </c>
      <c r="Q23" s="359" t="s">
        <v>167</v>
      </c>
      <c r="R23" s="349" t="s">
        <v>8</v>
      </c>
      <c r="S23" s="349"/>
      <c r="U23" s="305"/>
      <c r="V23" s="1334" t="s">
        <v>215</v>
      </c>
      <c r="W23" s="1336"/>
      <c r="X23" s="1393">
        <f>COUNTIF(J6:J353,"Shared Amenity")</f>
        <v>4</v>
      </c>
      <c r="Y23" s="1329"/>
      <c r="AA23" s="1334" t="s">
        <v>63</v>
      </c>
      <c r="AB23" s="1335"/>
      <c r="AC23" s="1336"/>
      <c r="AD23" s="1328">
        <f>K442</f>
        <v>10148.839199999999</v>
      </c>
      <c r="AE23" s="1329"/>
    </row>
    <row r="24" spans="1:31" ht="18" customHeight="1" thickBot="1" x14ac:dyDescent="0.4">
      <c r="A24" s="1426"/>
      <c r="B24" s="295">
        <v>18</v>
      </c>
      <c r="C24" s="23">
        <v>65.599999999999994</v>
      </c>
      <c r="D24" s="24">
        <f t="shared" si="0"/>
        <v>706.11183999999992</v>
      </c>
      <c r="E24" s="272"/>
      <c r="F24" s="272"/>
      <c r="G24" s="272" t="s">
        <v>8</v>
      </c>
      <c r="H24" s="272"/>
      <c r="I24" s="273"/>
      <c r="J24" s="274" t="s">
        <v>65</v>
      </c>
      <c r="K24" s="275"/>
      <c r="L24" s="272" t="s">
        <v>8</v>
      </c>
      <c r="M24" s="272"/>
      <c r="N24" s="272"/>
      <c r="O24" s="276"/>
      <c r="P24" s="349"/>
      <c r="Q24" s="358" t="s">
        <v>166</v>
      </c>
      <c r="R24" s="349" t="s">
        <v>8</v>
      </c>
      <c r="S24" s="351"/>
      <c r="V24" s="1372" t="s">
        <v>65</v>
      </c>
      <c r="W24" s="1373"/>
      <c r="X24" s="1368">
        <f>COUNTIF(J6:J353,"Community Amenity")</f>
        <v>123</v>
      </c>
      <c r="Y24" s="1369"/>
      <c r="AA24" s="1333" t="s">
        <v>155</v>
      </c>
      <c r="AB24" s="1218"/>
      <c r="AC24" s="1219"/>
      <c r="AD24" s="1337">
        <f>L442</f>
        <v>3779.6633999999995</v>
      </c>
      <c r="AE24" s="1338"/>
    </row>
    <row r="25" spans="1:31" ht="18" thickBot="1" x14ac:dyDescent="0.4">
      <c r="A25" s="1426"/>
      <c r="B25" s="295">
        <v>19</v>
      </c>
      <c r="C25" s="23">
        <v>83.7</v>
      </c>
      <c r="D25" s="24">
        <f t="shared" ref="D25:D32" si="1">SUM(C25*10.7639)</f>
        <v>900.93843000000004</v>
      </c>
      <c r="E25" s="272"/>
      <c r="F25" s="272"/>
      <c r="G25" s="272" t="s">
        <v>8</v>
      </c>
      <c r="H25" s="272"/>
      <c r="I25" s="273"/>
      <c r="J25" s="274" t="s">
        <v>63</v>
      </c>
      <c r="K25" s="275"/>
      <c r="L25" s="272" t="s">
        <v>8</v>
      </c>
      <c r="M25" s="272"/>
      <c r="O25" s="276"/>
      <c r="P25" s="351"/>
      <c r="Q25" s="358" t="s">
        <v>166</v>
      </c>
      <c r="R25" s="351" t="s">
        <v>8</v>
      </c>
      <c r="S25" s="352"/>
      <c r="U25" s="305"/>
      <c r="V25" s="1346" t="s">
        <v>52</v>
      </c>
      <c r="W25" s="1391"/>
      <c r="X25" s="1390">
        <f>SUM(X13:X24)</f>
        <v>348</v>
      </c>
      <c r="Y25" s="1348"/>
      <c r="Z25" s="382"/>
      <c r="AA25" s="1330" t="s">
        <v>65</v>
      </c>
      <c r="AB25" s="1331"/>
      <c r="AC25" s="1332"/>
      <c r="AD25" s="1323">
        <f>M442</f>
        <v>6380.917199999999</v>
      </c>
      <c r="AE25" s="1324"/>
    </row>
    <row r="26" spans="1:31" ht="18" thickBot="1" x14ac:dyDescent="0.4">
      <c r="A26" s="1426"/>
      <c r="B26" s="295">
        <v>20</v>
      </c>
      <c r="C26" s="23">
        <v>59.6</v>
      </c>
      <c r="D26" s="24">
        <f t="shared" si="1"/>
        <v>641.52844000000005</v>
      </c>
      <c r="E26" s="272"/>
      <c r="F26" s="272"/>
      <c r="G26" s="272" t="s">
        <v>8</v>
      </c>
      <c r="H26" s="272"/>
      <c r="I26" s="273"/>
      <c r="J26" s="274" t="s">
        <v>63</v>
      </c>
      <c r="K26" s="275" t="s">
        <v>8</v>
      </c>
      <c r="L26" s="272"/>
      <c r="M26" s="272"/>
      <c r="N26" s="272"/>
      <c r="O26" s="276"/>
      <c r="P26" s="349"/>
      <c r="Q26" s="358" t="s">
        <v>166</v>
      </c>
      <c r="R26" s="349" t="s">
        <v>8</v>
      </c>
      <c r="S26" s="349"/>
      <c r="AA26" s="1346" t="s">
        <v>52</v>
      </c>
      <c r="AB26" s="1347"/>
      <c r="AC26" s="1391"/>
      <c r="AD26" s="1535">
        <f>SUM(AD15:AE25)</f>
        <v>90888.576300000001</v>
      </c>
      <c r="AE26" s="1348"/>
    </row>
    <row r="27" spans="1:31" ht="18" thickBot="1" x14ac:dyDescent="0.4">
      <c r="A27" s="1426"/>
      <c r="B27" s="295">
        <v>21</v>
      </c>
      <c r="C27" s="23">
        <v>83.6</v>
      </c>
      <c r="D27" s="24">
        <f t="shared" si="1"/>
        <v>899.86203999999987</v>
      </c>
      <c r="E27" s="272" t="s">
        <v>8</v>
      </c>
      <c r="F27" s="272"/>
      <c r="G27" s="272"/>
      <c r="H27" s="272"/>
      <c r="I27" s="273"/>
      <c r="J27" s="274" t="s">
        <v>63</v>
      </c>
      <c r="K27" s="275"/>
      <c r="L27" s="272" t="s">
        <v>8</v>
      </c>
      <c r="M27" s="272"/>
      <c r="N27" s="272"/>
      <c r="O27" s="276"/>
      <c r="P27" s="349" t="s">
        <v>8</v>
      </c>
      <c r="Q27" s="359" t="s">
        <v>167</v>
      </c>
      <c r="R27" s="349" t="s">
        <v>8</v>
      </c>
      <c r="S27" s="349"/>
    </row>
    <row r="28" spans="1:31" ht="18" thickBot="1" x14ac:dyDescent="0.4">
      <c r="A28" s="1426"/>
      <c r="B28" s="295">
        <v>22</v>
      </c>
      <c r="C28" s="23">
        <v>83.6</v>
      </c>
      <c r="D28" s="24">
        <f t="shared" si="1"/>
        <v>899.86203999999987</v>
      </c>
      <c r="E28" s="272" t="s">
        <v>8</v>
      </c>
      <c r="F28" s="272"/>
      <c r="G28" s="272"/>
      <c r="H28" s="272"/>
      <c r="I28" s="273"/>
      <c r="J28" s="274" t="s">
        <v>63</v>
      </c>
      <c r="K28" s="275"/>
      <c r="L28" s="272" t="s">
        <v>8</v>
      </c>
      <c r="M28" s="272"/>
      <c r="N28" s="272"/>
      <c r="O28" s="276"/>
      <c r="P28" s="349" t="s">
        <v>8</v>
      </c>
      <c r="Q28" s="359" t="s">
        <v>167</v>
      </c>
      <c r="R28" s="349" t="s">
        <v>8</v>
      </c>
      <c r="S28" s="349"/>
      <c r="V28" s="1346" t="s">
        <v>170</v>
      </c>
      <c r="W28" s="1347"/>
      <c r="X28" s="1347"/>
      <c r="Y28" s="1348"/>
    </row>
    <row r="29" spans="1:31" x14ac:dyDescent="0.35">
      <c r="A29" s="1426"/>
      <c r="B29" s="295">
        <v>23</v>
      </c>
      <c r="C29" s="23">
        <v>87.2</v>
      </c>
      <c r="D29" s="24">
        <f t="shared" si="1"/>
        <v>938.61207999999999</v>
      </c>
      <c r="E29" s="272" t="s">
        <v>8</v>
      </c>
      <c r="F29" s="272"/>
      <c r="G29" s="272"/>
      <c r="H29" s="272"/>
      <c r="I29" s="273"/>
      <c r="J29" s="274" t="s">
        <v>159</v>
      </c>
      <c r="K29" s="275"/>
      <c r="L29" s="272"/>
      <c r="M29" s="272" t="s">
        <v>8</v>
      </c>
      <c r="N29" s="272"/>
      <c r="O29" s="276"/>
      <c r="P29" s="349"/>
      <c r="Q29" s="358" t="s">
        <v>166</v>
      </c>
      <c r="R29" s="351" t="s">
        <v>8</v>
      </c>
      <c r="S29" s="351"/>
      <c r="V29" s="1543" t="s">
        <v>169</v>
      </c>
      <c r="W29" s="1545"/>
      <c r="X29" s="1396" t="s">
        <v>69</v>
      </c>
      <c r="Y29" s="1340"/>
    </row>
    <row r="30" spans="1:31" x14ac:dyDescent="0.35">
      <c r="A30" s="1426"/>
      <c r="B30" s="1419">
        <v>24</v>
      </c>
      <c r="C30" s="1362">
        <v>159</v>
      </c>
      <c r="D30" s="1364">
        <f t="shared" si="1"/>
        <v>1711.4601</v>
      </c>
      <c r="E30" s="1356" t="s">
        <v>8</v>
      </c>
      <c r="F30" s="1354"/>
      <c r="G30" s="1354"/>
      <c r="H30" s="1354"/>
      <c r="I30" s="1375"/>
      <c r="J30" s="274" t="s">
        <v>63</v>
      </c>
      <c r="K30" s="1377"/>
      <c r="L30" s="1354"/>
      <c r="M30" s="1354"/>
      <c r="N30" s="1356" t="s">
        <v>8</v>
      </c>
      <c r="O30" s="1370"/>
      <c r="P30" s="1297" t="s">
        <v>8</v>
      </c>
      <c r="Q30" s="1366" t="s">
        <v>167</v>
      </c>
      <c r="R30" s="1297" t="s">
        <v>8</v>
      </c>
      <c r="S30" s="1297"/>
      <c r="V30" s="1397" t="s">
        <v>164</v>
      </c>
      <c r="W30" s="1398"/>
      <c r="X30" s="1399">
        <f>COUNTIF(Q6:Q363,"Single Storey")</f>
        <v>134</v>
      </c>
      <c r="Y30" s="1400"/>
    </row>
    <row r="31" spans="1:31" x14ac:dyDescent="0.35">
      <c r="A31" s="1426"/>
      <c r="B31" s="1420"/>
      <c r="C31" s="1363"/>
      <c r="D31" s="1365"/>
      <c r="E31" s="1357"/>
      <c r="F31" s="1355"/>
      <c r="G31" s="1355"/>
      <c r="H31" s="1355"/>
      <c r="I31" s="1376"/>
      <c r="J31" s="274" t="s">
        <v>159</v>
      </c>
      <c r="K31" s="1378"/>
      <c r="L31" s="1355"/>
      <c r="M31" s="1355"/>
      <c r="N31" s="1357"/>
      <c r="O31" s="1371"/>
      <c r="P31" s="1322"/>
      <c r="Q31" s="1367"/>
      <c r="R31" s="1298"/>
      <c r="S31" s="1322"/>
      <c r="V31" s="1334" t="s">
        <v>166</v>
      </c>
      <c r="W31" s="1336"/>
      <c r="X31" s="1392">
        <f>COUNTIF(Q6:Q363,"Two Storey's")</f>
        <v>100</v>
      </c>
      <c r="Y31" s="1327"/>
    </row>
    <row r="32" spans="1:31" x14ac:dyDescent="0.35">
      <c r="A32" s="1426"/>
      <c r="B32" s="295">
        <v>25</v>
      </c>
      <c r="C32" s="23">
        <v>71.5</v>
      </c>
      <c r="D32" s="24">
        <f t="shared" si="1"/>
        <v>769.61884999999995</v>
      </c>
      <c r="E32" s="272" t="s">
        <v>8</v>
      </c>
      <c r="F32" s="272"/>
      <c r="G32" s="272"/>
      <c r="H32" s="272"/>
      <c r="I32" s="273"/>
      <c r="J32" s="274" t="s">
        <v>65</v>
      </c>
      <c r="K32" s="275"/>
      <c r="L32" s="272" t="s">
        <v>8</v>
      </c>
      <c r="M32" s="272"/>
      <c r="N32" s="272"/>
      <c r="O32" s="276"/>
      <c r="P32" s="351"/>
      <c r="Q32" s="358" t="s">
        <v>166</v>
      </c>
      <c r="R32" s="351" t="s">
        <v>8</v>
      </c>
      <c r="S32" s="349"/>
      <c r="V32" s="1330" t="s">
        <v>167</v>
      </c>
      <c r="W32" s="1332"/>
      <c r="X32" s="1392">
        <f>COUNTIF(Q6:Q363,"Three Storey's")</f>
        <v>77</v>
      </c>
      <c r="Y32" s="1327"/>
    </row>
    <row r="33" spans="1:25" ht="18" thickBot="1" x14ac:dyDescent="0.4">
      <c r="A33" s="1426" t="s">
        <v>20</v>
      </c>
      <c r="B33" s="295">
        <v>26</v>
      </c>
      <c r="C33" s="23">
        <v>77.599999999999994</v>
      </c>
      <c r="D33" s="24">
        <f t="shared" ref="D33:D55" si="2">SUM(C33*10.7639)</f>
        <v>835.27863999999988</v>
      </c>
      <c r="E33" s="272"/>
      <c r="F33" s="272"/>
      <c r="G33" s="272" t="s">
        <v>8</v>
      </c>
      <c r="H33" s="272"/>
      <c r="I33" s="273"/>
      <c r="J33" s="274" t="s">
        <v>63</v>
      </c>
      <c r="K33" s="275"/>
      <c r="L33" s="272" t="s">
        <v>8</v>
      </c>
      <c r="M33" s="272"/>
      <c r="N33" s="272"/>
      <c r="O33" s="276"/>
      <c r="P33" s="349"/>
      <c r="Q33" s="359" t="s">
        <v>166</v>
      </c>
      <c r="R33" s="352" t="s">
        <v>8</v>
      </c>
      <c r="S33" s="351"/>
      <c r="V33" s="1372" t="s">
        <v>168</v>
      </c>
      <c r="W33" s="1373"/>
      <c r="X33" s="1368">
        <f>COUNTIF(Q6:Q363,"Four Storey's")</f>
        <v>6</v>
      </c>
      <c r="Y33" s="1369"/>
    </row>
    <row r="34" spans="1:25" ht="18" thickBot="1" x14ac:dyDescent="0.4">
      <c r="A34" s="1426"/>
      <c r="B34" s="295">
        <v>27</v>
      </c>
      <c r="C34" s="23">
        <v>77.2</v>
      </c>
      <c r="D34" s="24">
        <f t="shared" si="2"/>
        <v>830.97307999999998</v>
      </c>
      <c r="E34" s="272"/>
      <c r="F34" s="272"/>
      <c r="G34" s="272" t="s">
        <v>8</v>
      </c>
      <c r="H34" s="272"/>
      <c r="I34" s="273"/>
      <c r="J34" s="274" t="s">
        <v>63</v>
      </c>
      <c r="K34" s="275"/>
      <c r="L34" s="272" t="s">
        <v>8</v>
      </c>
      <c r="M34" s="272"/>
      <c r="N34" s="272"/>
      <c r="O34" s="276"/>
      <c r="P34" s="349"/>
      <c r="Q34" s="359" t="s">
        <v>166</v>
      </c>
      <c r="R34" s="352" t="s">
        <v>8</v>
      </c>
      <c r="S34" s="352"/>
      <c r="U34" s="305"/>
      <c r="V34" s="1346" t="s">
        <v>52</v>
      </c>
      <c r="W34" s="1391"/>
      <c r="X34" s="1401">
        <f>SUM(X30:X33)</f>
        <v>317</v>
      </c>
      <c r="Y34" s="1402"/>
    </row>
    <row r="35" spans="1:25" x14ac:dyDescent="0.35">
      <c r="A35" s="1426"/>
      <c r="B35" s="295">
        <v>28</v>
      </c>
      <c r="C35" s="23">
        <v>97.1</v>
      </c>
      <c r="D35" s="24">
        <f t="shared" si="2"/>
        <v>1045.1746899999998</v>
      </c>
      <c r="E35" s="272" t="s">
        <v>8</v>
      </c>
      <c r="F35" s="272"/>
      <c r="G35" s="272"/>
      <c r="H35" s="272"/>
      <c r="I35" s="273"/>
      <c r="J35" s="274" t="s">
        <v>65</v>
      </c>
      <c r="K35" s="275"/>
      <c r="L35" s="272"/>
      <c r="M35" s="272" t="s">
        <v>8</v>
      </c>
      <c r="N35" s="272"/>
      <c r="O35" s="276"/>
      <c r="P35" s="349"/>
      <c r="Q35" s="358" t="s">
        <v>166</v>
      </c>
      <c r="R35" s="349" t="s">
        <v>8</v>
      </c>
      <c r="S35" s="349"/>
    </row>
    <row r="36" spans="1:25" x14ac:dyDescent="0.35">
      <c r="A36" s="1426"/>
      <c r="B36" s="295">
        <v>29</v>
      </c>
      <c r="C36" s="23">
        <v>94.7</v>
      </c>
      <c r="D36" s="24">
        <f t="shared" si="2"/>
        <v>1019.34133</v>
      </c>
      <c r="E36" s="272" t="s">
        <v>8</v>
      </c>
      <c r="F36" s="272"/>
      <c r="G36" s="272"/>
      <c r="H36" s="272"/>
      <c r="I36" s="273"/>
      <c r="J36" s="274" t="s">
        <v>63</v>
      </c>
      <c r="K36" s="275"/>
      <c r="L36" s="272"/>
      <c r="M36" s="272" t="s">
        <v>8</v>
      </c>
      <c r="N36" s="272"/>
      <c r="O36" s="276"/>
      <c r="P36" s="349"/>
      <c r="Q36" s="359" t="s">
        <v>167</v>
      </c>
      <c r="R36" s="349" t="s">
        <v>8</v>
      </c>
      <c r="S36" s="349"/>
      <c r="U36" s="2" t="s">
        <v>176</v>
      </c>
    </row>
    <row r="37" spans="1:25" x14ac:dyDescent="0.35">
      <c r="A37" s="1426"/>
      <c r="B37" s="295">
        <v>30</v>
      </c>
      <c r="C37" s="23">
        <v>94.3</v>
      </c>
      <c r="D37" s="24">
        <f t="shared" si="2"/>
        <v>1015.03577</v>
      </c>
      <c r="E37" s="272" t="s">
        <v>8</v>
      </c>
      <c r="F37" s="272"/>
      <c r="G37" s="272"/>
      <c r="H37" s="272"/>
      <c r="I37" s="273"/>
      <c r="J37" s="274" t="s">
        <v>63</v>
      </c>
      <c r="K37" s="275"/>
      <c r="L37" s="272"/>
      <c r="M37" s="272" t="s">
        <v>8</v>
      </c>
      <c r="N37" s="272"/>
      <c r="O37" s="276"/>
      <c r="P37" s="350"/>
      <c r="Q37" s="359" t="s">
        <v>167</v>
      </c>
      <c r="R37" s="349" t="s">
        <v>8</v>
      </c>
      <c r="S37" s="349"/>
      <c r="V37" s="2" t="s">
        <v>180</v>
      </c>
    </row>
    <row r="38" spans="1:25" x14ac:dyDescent="0.35">
      <c r="A38" s="1426"/>
      <c r="B38" s="295">
        <v>31</v>
      </c>
      <c r="C38" s="23">
        <v>107.5</v>
      </c>
      <c r="D38" s="24">
        <f t="shared" si="2"/>
        <v>1157.11925</v>
      </c>
      <c r="E38" s="272"/>
      <c r="F38" s="272"/>
      <c r="G38" s="272" t="s">
        <v>8</v>
      </c>
      <c r="H38" s="272"/>
      <c r="I38" s="273"/>
      <c r="J38" s="274" t="s">
        <v>66</v>
      </c>
      <c r="K38" s="275"/>
      <c r="L38" s="272"/>
      <c r="M38" s="272" t="s">
        <v>8</v>
      </c>
      <c r="N38" s="272"/>
      <c r="O38" s="276"/>
      <c r="P38" s="351"/>
      <c r="Q38" s="358" t="s">
        <v>166</v>
      </c>
      <c r="R38" s="351" t="s">
        <v>8</v>
      </c>
      <c r="S38" s="351"/>
      <c r="V38" s="2" t="s">
        <v>179</v>
      </c>
    </row>
    <row r="39" spans="1:25" x14ac:dyDescent="0.35">
      <c r="A39" s="1426"/>
      <c r="B39" s="295">
        <v>32</v>
      </c>
      <c r="C39" s="23">
        <v>91.7</v>
      </c>
      <c r="D39" s="24">
        <f t="shared" si="2"/>
        <v>987.04962999999998</v>
      </c>
      <c r="E39" s="272" t="s">
        <v>8</v>
      </c>
      <c r="F39" s="272"/>
      <c r="G39" s="272"/>
      <c r="H39" s="272"/>
      <c r="I39" s="273"/>
      <c r="J39" s="274" t="s">
        <v>159</v>
      </c>
      <c r="K39" s="275"/>
      <c r="L39" s="272"/>
      <c r="M39" s="272" t="s">
        <v>8</v>
      </c>
      <c r="N39" s="272"/>
      <c r="O39" s="276"/>
      <c r="P39" s="349"/>
      <c r="Q39" s="359" t="s">
        <v>167</v>
      </c>
      <c r="R39" s="349" t="s">
        <v>8</v>
      </c>
      <c r="S39" s="349"/>
      <c r="V39" s="2" t="s">
        <v>190</v>
      </c>
    </row>
    <row r="40" spans="1:25" x14ac:dyDescent="0.35">
      <c r="A40" s="1426"/>
      <c r="B40" s="295">
        <v>33</v>
      </c>
      <c r="C40" s="23">
        <v>75.3</v>
      </c>
      <c r="D40" s="24">
        <f t="shared" si="2"/>
        <v>810.52166999999997</v>
      </c>
      <c r="E40" s="272" t="s">
        <v>8</v>
      </c>
      <c r="F40" s="272"/>
      <c r="G40" s="272"/>
      <c r="H40" s="272"/>
      <c r="I40" s="273"/>
      <c r="J40" s="274" t="s">
        <v>159</v>
      </c>
      <c r="K40" s="275"/>
      <c r="L40" s="272" t="s">
        <v>8</v>
      </c>
      <c r="M40" s="272"/>
      <c r="N40" s="272"/>
      <c r="O40" s="276"/>
      <c r="P40" s="349"/>
      <c r="Q40" s="359" t="s">
        <v>167</v>
      </c>
      <c r="R40" s="349" t="s">
        <v>8</v>
      </c>
      <c r="S40" s="349"/>
    </row>
    <row r="41" spans="1:25" x14ac:dyDescent="0.35">
      <c r="A41" s="1426"/>
      <c r="B41" s="295">
        <v>34</v>
      </c>
      <c r="C41" s="23">
        <v>75.3</v>
      </c>
      <c r="D41" s="24">
        <f t="shared" si="2"/>
        <v>810.52166999999997</v>
      </c>
      <c r="E41" s="272" t="s">
        <v>8</v>
      </c>
      <c r="F41" s="272"/>
      <c r="G41" s="272"/>
      <c r="H41" s="272"/>
      <c r="I41" s="273"/>
      <c r="J41" s="274" t="s">
        <v>64</v>
      </c>
      <c r="K41" s="275"/>
      <c r="L41" s="272" t="s">
        <v>8</v>
      </c>
      <c r="M41" s="272"/>
      <c r="N41" s="272"/>
      <c r="O41" s="276"/>
      <c r="P41" s="351"/>
      <c r="Q41" s="359" t="s">
        <v>167</v>
      </c>
      <c r="R41" s="349" t="s">
        <v>8</v>
      </c>
      <c r="S41" s="349"/>
      <c r="U41" s="2" t="s">
        <v>177</v>
      </c>
    </row>
    <row r="42" spans="1:25" x14ac:dyDescent="0.35">
      <c r="A42" s="1426"/>
      <c r="B42" s="295">
        <v>35</v>
      </c>
      <c r="C42" s="23">
        <v>128.5</v>
      </c>
      <c r="D42" s="24">
        <f t="shared" si="2"/>
        <v>1383.1611499999999</v>
      </c>
      <c r="E42" s="272" t="s">
        <v>8</v>
      </c>
      <c r="F42" s="272"/>
      <c r="G42" s="272"/>
      <c r="H42" s="272"/>
      <c r="I42" s="273"/>
      <c r="J42" s="274" t="s">
        <v>159</v>
      </c>
      <c r="K42" s="275"/>
      <c r="L42" s="272"/>
      <c r="M42" s="272"/>
      <c r="N42" s="272" t="s">
        <v>8</v>
      </c>
      <c r="O42" s="276"/>
      <c r="P42" s="349" t="s">
        <v>8</v>
      </c>
      <c r="Q42" s="359" t="s">
        <v>168</v>
      </c>
      <c r="R42" s="349" t="s">
        <v>8</v>
      </c>
      <c r="S42" s="349"/>
      <c r="V42" s="2" t="s">
        <v>180</v>
      </c>
    </row>
    <row r="43" spans="1:25" x14ac:dyDescent="0.35">
      <c r="A43" s="1426"/>
      <c r="B43" s="295">
        <v>36</v>
      </c>
      <c r="C43" s="23">
        <v>102.5</v>
      </c>
      <c r="D43" s="24">
        <f t="shared" si="2"/>
        <v>1103.2997499999999</v>
      </c>
      <c r="E43" s="272" t="s">
        <v>8</v>
      </c>
      <c r="F43" s="272"/>
      <c r="G43" s="272"/>
      <c r="H43" s="272"/>
      <c r="I43" s="273"/>
      <c r="J43" s="274" t="s">
        <v>67</v>
      </c>
      <c r="K43" s="275"/>
      <c r="L43" s="272"/>
      <c r="M43" s="272" t="s">
        <v>8</v>
      </c>
      <c r="N43" s="272"/>
      <c r="O43" s="276"/>
      <c r="P43" s="351" t="s">
        <v>8</v>
      </c>
      <c r="Q43" s="359" t="s">
        <v>167</v>
      </c>
      <c r="R43" s="349" t="s">
        <v>8</v>
      </c>
      <c r="S43" s="349"/>
      <c r="V43" s="2" t="s">
        <v>179</v>
      </c>
    </row>
    <row r="44" spans="1:25" x14ac:dyDescent="0.35">
      <c r="A44" s="1426"/>
      <c r="B44" s="1419">
        <v>37</v>
      </c>
      <c r="C44" s="1362">
        <v>116.7</v>
      </c>
      <c r="D44" s="1364">
        <f t="shared" si="2"/>
        <v>1256.1471300000001</v>
      </c>
      <c r="E44" s="1356" t="s">
        <v>8</v>
      </c>
      <c r="F44" s="1354"/>
      <c r="G44" s="1354"/>
      <c r="H44" s="1354"/>
      <c r="I44" s="1375"/>
      <c r="J44" s="274" t="s">
        <v>67</v>
      </c>
      <c r="K44" s="1377"/>
      <c r="L44" s="1354"/>
      <c r="M44" s="1356" t="s">
        <v>8</v>
      </c>
      <c r="N44" s="1356"/>
      <c r="O44" s="1370"/>
      <c r="P44" s="1297" t="s">
        <v>8</v>
      </c>
      <c r="Q44" s="1366" t="s">
        <v>167</v>
      </c>
      <c r="R44" s="1297" t="s">
        <v>8</v>
      </c>
      <c r="S44" s="1297"/>
      <c r="V44" s="2" t="s">
        <v>189</v>
      </c>
    </row>
    <row r="45" spans="1:25" x14ac:dyDescent="0.35">
      <c r="A45" s="1426"/>
      <c r="B45" s="1420"/>
      <c r="C45" s="1363"/>
      <c r="D45" s="1365"/>
      <c r="E45" s="1357"/>
      <c r="F45" s="1355"/>
      <c r="G45" s="1355"/>
      <c r="H45" s="1355"/>
      <c r="I45" s="1376"/>
      <c r="J45" s="274" t="s">
        <v>63</v>
      </c>
      <c r="K45" s="1378"/>
      <c r="L45" s="1355"/>
      <c r="M45" s="1357"/>
      <c r="N45" s="1357"/>
      <c r="O45" s="1371"/>
      <c r="P45" s="1298"/>
      <c r="Q45" s="1367"/>
      <c r="R45" s="1298"/>
      <c r="S45" s="1298"/>
      <c r="V45" s="2" t="s">
        <v>178</v>
      </c>
    </row>
    <row r="46" spans="1:25" x14ac:dyDescent="0.35">
      <c r="A46" s="1426"/>
      <c r="B46" s="295">
        <v>38</v>
      </c>
      <c r="C46" s="23">
        <v>39</v>
      </c>
      <c r="D46" s="24">
        <f t="shared" si="2"/>
        <v>419.7921</v>
      </c>
      <c r="E46" s="272"/>
      <c r="F46" s="272"/>
      <c r="G46" s="272" t="s">
        <v>8</v>
      </c>
      <c r="H46" s="272"/>
      <c r="I46" s="273"/>
      <c r="J46" s="274" t="s">
        <v>64</v>
      </c>
      <c r="K46" s="275" t="s">
        <v>8</v>
      </c>
      <c r="L46" s="272"/>
      <c r="M46" s="272"/>
      <c r="N46" s="272"/>
      <c r="O46" s="276"/>
      <c r="P46" s="349"/>
      <c r="Q46" s="359" t="s">
        <v>164</v>
      </c>
      <c r="R46" s="349" t="s">
        <v>8</v>
      </c>
      <c r="S46" s="349"/>
    </row>
    <row r="47" spans="1:25" x14ac:dyDescent="0.35">
      <c r="A47" s="1426"/>
      <c r="B47" s="295">
        <v>39</v>
      </c>
      <c r="C47" s="23">
        <v>76.8</v>
      </c>
      <c r="D47" s="24">
        <f t="shared" si="2"/>
        <v>826.66751999999997</v>
      </c>
      <c r="E47" s="272"/>
      <c r="F47" s="272"/>
      <c r="G47" s="272" t="s">
        <v>8</v>
      </c>
      <c r="H47" s="272"/>
      <c r="I47" s="273"/>
      <c r="J47" s="274" t="s">
        <v>63</v>
      </c>
      <c r="K47" s="275"/>
      <c r="L47" s="272"/>
      <c r="M47" s="272" t="s">
        <v>8</v>
      </c>
      <c r="N47" s="272"/>
      <c r="O47" s="276"/>
      <c r="P47" s="350"/>
      <c r="Q47" s="358" t="s">
        <v>166</v>
      </c>
      <c r="R47" s="351" t="s">
        <v>8</v>
      </c>
      <c r="S47" s="351"/>
    </row>
    <row r="48" spans="1:25" x14ac:dyDescent="0.35">
      <c r="A48" s="1426"/>
      <c r="B48" s="295">
        <v>40</v>
      </c>
      <c r="C48" s="23">
        <v>93.9</v>
      </c>
      <c r="D48" s="24">
        <f t="shared" si="2"/>
        <v>1010.7302100000001</v>
      </c>
      <c r="E48" s="272" t="s">
        <v>8</v>
      </c>
      <c r="F48" s="272"/>
      <c r="G48" s="272"/>
      <c r="H48" s="272"/>
      <c r="I48" s="273"/>
      <c r="J48" s="274" t="s">
        <v>63</v>
      </c>
      <c r="K48" s="275"/>
      <c r="L48" s="272"/>
      <c r="M48" s="272" t="s">
        <v>8</v>
      </c>
      <c r="N48" s="272"/>
      <c r="O48" s="276"/>
      <c r="P48" s="351"/>
      <c r="Q48" s="359" t="s">
        <v>167</v>
      </c>
      <c r="R48" s="349" t="s">
        <v>8</v>
      </c>
      <c r="S48" s="349"/>
      <c r="U48" s="2" t="s">
        <v>182</v>
      </c>
    </row>
    <row r="49" spans="1:22" x14ac:dyDescent="0.35">
      <c r="A49" s="1426"/>
      <c r="B49" s="295">
        <v>41</v>
      </c>
      <c r="C49" s="23">
        <v>84.1</v>
      </c>
      <c r="D49" s="24">
        <f t="shared" si="2"/>
        <v>905.24398999999994</v>
      </c>
      <c r="E49" s="272"/>
      <c r="F49" s="272"/>
      <c r="G49" s="272" t="s">
        <v>8</v>
      </c>
      <c r="H49" s="272"/>
      <c r="I49" s="273"/>
      <c r="J49" s="274" t="s">
        <v>63</v>
      </c>
      <c r="K49" s="275"/>
      <c r="L49" s="272" t="s">
        <v>8</v>
      </c>
      <c r="M49" s="272"/>
      <c r="N49" s="272"/>
      <c r="O49" s="276"/>
      <c r="P49" s="349"/>
      <c r="Q49" s="359" t="s">
        <v>167</v>
      </c>
      <c r="R49" s="349" t="s">
        <v>8</v>
      </c>
      <c r="S49" s="349"/>
      <c r="V49" s="2" t="s">
        <v>181</v>
      </c>
    </row>
    <row r="50" spans="1:22" x14ac:dyDescent="0.35">
      <c r="A50" s="1426"/>
      <c r="B50" s="295">
        <v>42</v>
      </c>
      <c r="C50" s="23">
        <v>111.6</v>
      </c>
      <c r="D50" s="24">
        <f t="shared" si="2"/>
        <v>1201.2512399999998</v>
      </c>
      <c r="E50" s="272"/>
      <c r="F50" s="272"/>
      <c r="G50" s="272" t="s">
        <v>8</v>
      </c>
      <c r="H50" s="272"/>
      <c r="I50" s="273"/>
      <c r="J50" s="274" t="s">
        <v>65</v>
      </c>
      <c r="K50" s="275"/>
      <c r="L50" s="272"/>
      <c r="M50" s="272" t="s">
        <v>8</v>
      </c>
      <c r="N50" s="272"/>
      <c r="O50" s="276"/>
      <c r="P50" s="349"/>
      <c r="Q50" s="358" t="s">
        <v>166</v>
      </c>
      <c r="R50" s="351" t="s">
        <v>8</v>
      </c>
      <c r="S50" s="351"/>
      <c r="V50" s="2" t="s">
        <v>188</v>
      </c>
    </row>
    <row r="51" spans="1:22" x14ac:dyDescent="0.35">
      <c r="A51" s="1433" t="s">
        <v>23</v>
      </c>
      <c r="B51" s="295">
        <v>43</v>
      </c>
      <c r="C51" s="23">
        <v>46.9</v>
      </c>
      <c r="D51" s="24">
        <f t="shared" si="2"/>
        <v>504.82690999999994</v>
      </c>
      <c r="E51" s="272"/>
      <c r="F51" s="272"/>
      <c r="G51" s="272" t="s">
        <v>8</v>
      </c>
      <c r="H51" s="272"/>
      <c r="I51" s="273"/>
      <c r="J51" s="274" t="s">
        <v>65</v>
      </c>
      <c r="K51" s="275" t="s">
        <v>8</v>
      </c>
      <c r="L51" s="272"/>
      <c r="M51" s="272"/>
      <c r="N51" s="272"/>
      <c r="O51" s="276"/>
      <c r="P51" s="349"/>
      <c r="Q51" s="359" t="s">
        <v>164</v>
      </c>
      <c r="R51" s="349" t="s">
        <v>8</v>
      </c>
      <c r="S51" s="349"/>
      <c r="V51" s="2" t="s">
        <v>185</v>
      </c>
    </row>
    <row r="52" spans="1:22" x14ac:dyDescent="0.35">
      <c r="A52" s="1434"/>
      <c r="B52" s="295">
        <v>44</v>
      </c>
      <c r="C52" s="23">
        <v>107.6</v>
      </c>
      <c r="D52" s="24">
        <f t="shared" si="2"/>
        <v>1158.1956399999999</v>
      </c>
      <c r="E52" s="272"/>
      <c r="F52" s="272"/>
      <c r="G52" s="272" t="s">
        <v>8</v>
      </c>
      <c r="H52" s="272"/>
      <c r="I52" s="273"/>
      <c r="J52" s="274" t="s">
        <v>65</v>
      </c>
      <c r="K52" s="275"/>
      <c r="L52" s="272"/>
      <c r="M52" s="272" t="s">
        <v>8</v>
      </c>
      <c r="N52" s="272"/>
      <c r="O52" s="276"/>
      <c r="P52" s="349"/>
      <c r="Q52" s="358" t="s">
        <v>166</v>
      </c>
      <c r="R52" s="351" t="s">
        <v>8</v>
      </c>
      <c r="S52" s="351"/>
    </row>
    <row r="53" spans="1:22" x14ac:dyDescent="0.35">
      <c r="A53" s="1434"/>
      <c r="B53" s="295">
        <v>45</v>
      </c>
      <c r="C53" s="23">
        <v>38.5</v>
      </c>
      <c r="D53" s="24">
        <f t="shared" si="2"/>
        <v>414.41014999999999</v>
      </c>
      <c r="E53" s="272"/>
      <c r="F53" s="272"/>
      <c r="G53" s="272" t="s">
        <v>8</v>
      </c>
      <c r="H53" s="272"/>
      <c r="I53" s="273"/>
      <c r="J53" s="274" t="s">
        <v>65</v>
      </c>
      <c r="K53" s="275" t="s">
        <v>8</v>
      </c>
      <c r="L53" s="272"/>
      <c r="M53" s="272"/>
      <c r="N53" s="272"/>
      <c r="O53" s="276"/>
      <c r="P53" s="349"/>
      <c r="Q53" s="359" t="s">
        <v>164</v>
      </c>
      <c r="R53" s="349" t="s">
        <v>8</v>
      </c>
      <c r="S53" s="349"/>
      <c r="U53" s="2" t="s">
        <v>184</v>
      </c>
    </row>
    <row r="54" spans="1:22" x14ac:dyDescent="0.35">
      <c r="A54" s="1434"/>
      <c r="B54" s="295">
        <v>46</v>
      </c>
      <c r="C54" s="23">
        <v>75.3</v>
      </c>
      <c r="D54" s="24">
        <f>SUM(C54*10.7639)</f>
        <v>810.52166999999997</v>
      </c>
      <c r="E54" s="272"/>
      <c r="F54" s="272"/>
      <c r="G54" s="272" t="s">
        <v>8</v>
      </c>
      <c r="H54" s="272"/>
      <c r="I54" s="273"/>
      <c r="J54" s="274" t="s">
        <v>65</v>
      </c>
      <c r="K54" s="275"/>
      <c r="L54" s="272" t="s">
        <v>8</v>
      </c>
      <c r="M54" s="272"/>
      <c r="N54" s="272"/>
      <c r="O54" s="276"/>
      <c r="P54" s="349"/>
      <c r="Q54" s="359" t="s">
        <v>166</v>
      </c>
      <c r="R54" s="351" t="s">
        <v>8</v>
      </c>
      <c r="S54" s="349"/>
      <c r="V54" s="2" t="s">
        <v>181</v>
      </c>
    </row>
    <row r="55" spans="1:22" x14ac:dyDescent="0.35">
      <c r="A55" s="1434"/>
      <c r="B55" s="295">
        <v>47</v>
      </c>
      <c r="C55" s="23">
        <v>94.3</v>
      </c>
      <c r="D55" s="24">
        <f t="shared" si="2"/>
        <v>1015.03577</v>
      </c>
      <c r="E55" s="272"/>
      <c r="F55" s="272"/>
      <c r="G55" s="272" t="s">
        <v>8</v>
      </c>
      <c r="H55" s="272"/>
      <c r="I55" s="273"/>
      <c r="J55" s="274" t="s">
        <v>65</v>
      </c>
      <c r="K55" s="275"/>
      <c r="L55" s="272"/>
      <c r="M55" s="272" t="s">
        <v>8</v>
      </c>
      <c r="N55" s="272"/>
      <c r="O55" s="276"/>
      <c r="P55" s="349"/>
      <c r="Q55" s="358" t="s">
        <v>166</v>
      </c>
      <c r="R55" s="352" t="s">
        <v>8</v>
      </c>
      <c r="S55" s="351"/>
      <c r="V55" s="2" t="s">
        <v>188</v>
      </c>
    </row>
    <row r="56" spans="1:22" x14ac:dyDescent="0.35">
      <c r="A56" s="1434"/>
      <c r="B56" s="295">
        <v>48</v>
      </c>
      <c r="C56" s="23">
        <v>107.5</v>
      </c>
      <c r="D56" s="24">
        <f t="shared" ref="D56:D84" si="3">SUM(C56*10.7639)</f>
        <v>1157.11925</v>
      </c>
      <c r="E56" s="272" t="s">
        <v>8</v>
      </c>
      <c r="F56" s="272"/>
      <c r="G56" s="272"/>
      <c r="H56" s="272"/>
      <c r="I56" s="273"/>
      <c r="J56" s="274" t="s">
        <v>63</v>
      </c>
      <c r="K56" s="275"/>
      <c r="L56" s="272" t="s">
        <v>8</v>
      </c>
      <c r="M56" s="272"/>
      <c r="N56" s="272"/>
      <c r="O56" s="276"/>
      <c r="P56" s="349" t="s">
        <v>8</v>
      </c>
      <c r="Q56" s="359" t="s">
        <v>167</v>
      </c>
      <c r="R56" s="352" t="s">
        <v>8</v>
      </c>
      <c r="S56" s="349"/>
      <c r="V56" s="2" t="s">
        <v>183</v>
      </c>
    </row>
    <row r="57" spans="1:22" x14ac:dyDescent="0.35">
      <c r="A57" s="1434"/>
      <c r="B57" s="295">
        <v>49</v>
      </c>
      <c r="C57" s="23">
        <v>105.1</v>
      </c>
      <c r="D57" s="24">
        <f t="shared" si="3"/>
        <v>1131.2858899999999</v>
      </c>
      <c r="E57" s="272" t="s">
        <v>8</v>
      </c>
      <c r="F57" s="272"/>
      <c r="G57" s="272"/>
      <c r="H57" s="272"/>
      <c r="I57" s="273"/>
      <c r="J57" s="274" t="s">
        <v>63</v>
      </c>
      <c r="K57" s="275"/>
      <c r="L57" s="272"/>
      <c r="M57" s="272" t="s">
        <v>8</v>
      </c>
      <c r="N57" s="272"/>
      <c r="O57" s="276"/>
      <c r="P57" s="349"/>
      <c r="Q57" s="359" t="s">
        <v>167</v>
      </c>
      <c r="R57" s="352" t="s">
        <v>8</v>
      </c>
      <c r="S57" s="349"/>
    </row>
    <row r="58" spans="1:22" x14ac:dyDescent="0.35">
      <c r="A58" s="1434"/>
      <c r="B58" s="295">
        <v>50</v>
      </c>
      <c r="C58" s="23">
        <v>129</v>
      </c>
      <c r="D58" s="24">
        <f t="shared" si="3"/>
        <v>1388.5430999999999</v>
      </c>
      <c r="E58" s="272" t="s">
        <v>8</v>
      </c>
      <c r="F58" s="272"/>
      <c r="G58" s="272"/>
      <c r="H58" s="272"/>
      <c r="I58" s="273"/>
      <c r="J58" s="274" t="s">
        <v>63</v>
      </c>
      <c r="K58" s="275"/>
      <c r="L58" s="272"/>
      <c r="M58" s="272"/>
      <c r="N58" s="272" t="s">
        <v>8</v>
      </c>
      <c r="O58" s="276"/>
      <c r="P58" s="351"/>
      <c r="Q58" s="359" t="s">
        <v>167</v>
      </c>
      <c r="R58" s="349" t="s">
        <v>8</v>
      </c>
      <c r="S58" s="349"/>
      <c r="U58" s="2" t="s">
        <v>191</v>
      </c>
    </row>
    <row r="59" spans="1:22" x14ac:dyDescent="0.35">
      <c r="A59" s="1434"/>
      <c r="B59" s="295">
        <v>51</v>
      </c>
      <c r="C59" s="23">
        <v>101.3</v>
      </c>
      <c r="D59" s="24">
        <f t="shared" si="3"/>
        <v>1090.3830699999999</v>
      </c>
      <c r="E59" s="272" t="s">
        <v>8</v>
      </c>
      <c r="F59" s="272"/>
      <c r="G59" s="272"/>
      <c r="H59" s="272"/>
      <c r="I59" s="273"/>
      <c r="J59" s="274" t="s">
        <v>67</v>
      </c>
      <c r="K59" s="275"/>
      <c r="L59" s="272"/>
      <c r="M59" s="272" t="s">
        <v>8</v>
      </c>
      <c r="N59" s="272"/>
      <c r="O59" s="276"/>
      <c r="P59" s="349"/>
      <c r="Q59" s="359" t="s">
        <v>167</v>
      </c>
      <c r="R59" s="351" t="s">
        <v>8</v>
      </c>
      <c r="S59" s="349"/>
      <c r="V59" s="2" t="s">
        <v>187</v>
      </c>
    </row>
    <row r="60" spans="1:22" x14ac:dyDescent="0.35">
      <c r="A60" s="1434"/>
      <c r="B60" s="295">
        <v>52</v>
      </c>
      <c r="C60" s="23">
        <v>84.8</v>
      </c>
      <c r="D60" s="24">
        <f t="shared" si="3"/>
        <v>912.77871999999991</v>
      </c>
      <c r="E60" s="272" t="s">
        <v>8</v>
      </c>
      <c r="F60" s="272"/>
      <c r="G60" s="272"/>
      <c r="H60" s="272"/>
      <c r="I60" s="273"/>
      <c r="J60" s="274" t="s">
        <v>160</v>
      </c>
      <c r="K60" s="275"/>
      <c r="L60" s="272" t="s">
        <v>8</v>
      </c>
      <c r="M60" s="272"/>
      <c r="N60" s="272"/>
      <c r="O60" s="276"/>
      <c r="P60" s="350"/>
      <c r="Q60" s="358" t="s">
        <v>166</v>
      </c>
      <c r="R60" s="352" t="s">
        <v>8</v>
      </c>
      <c r="S60" s="351"/>
      <c r="V60" s="2" t="s">
        <v>188</v>
      </c>
    </row>
    <row r="61" spans="1:22" x14ac:dyDescent="0.35">
      <c r="A61" s="1434"/>
      <c r="B61" s="295">
        <v>53</v>
      </c>
      <c r="C61" s="23">
        <v>127.7</v>
      </c>
      <c r="D61" s="24">
        <f t="shared" si="3"/>
        <v>1374.5500299999999</v>
      </c>
      <c r="E61" s="272" t="s">
        <v>8</v>
      </c>
      <c r="F61" s="272"/>
      <c r="G61" s="272"/>
      <c r="H61" s="272"/>
      <c r="I61" s="273"/>
      <c r="J61" s="274" t="s">
        <v>160</v>
      </c>
      <c r="K61" s="275"/>
      <c r="L61" s="272"/>
      <c r="M61" s="272"/>
      <c r="N61" s="272" t="s">
        <v>8</v>
      </c>
      <c r="O61" s="276"/>
      <c r="P61" s="350"/>
      <c r="Q61" s="359" t="s">
        <v>167</v>
      </c>
      <c r="R61" s="349" t="s">
        <v>8</v>
      </c>
      <c r="S61" s="349"/>
      <c r="V61" s="2" t="s">
        <v>185</v>
      </c>
    </row>
    <row r="62" spans="1:22" x14ac:dyDescent="0.35">
      <c r="A62" s="1434"/>
      <c r="B62" s="295">
        <v>54</v>
      </c>
      <c r="C62" s="23">
        <v>109.2</v>
      </c>
      <c r="D62" s="24">
        <f t="shared" si="3"/>
        <v>1175.41788</v>
      </c>
      <c r="E62" s="272" t="s">
        <v>8</v>
      </c>
      <c r="F62" s="272"/>
      <c r="G62" s="272"/>
      <c r="H62" s="272"/>
      <c r="I62" s="273"/>
      <c r="J62" s="274" t="s">
        <v>160</v>
      </c>
      <c r="K62" s="275"/>
      <c r="L62" s="272"/>
      <c r="M62" s="272"/>
      <c r="N62" s="272" t="s">
        <v>8</v>
      </c>
      <c r="O62" s="276"/>
      <c r="P62" s="351"/>
      <c r="Q62" s="359" t="s">
        <v>167</v>
      </c>
      <c r="R62" s="349" t="s">
        <v>8</v>
      </c>
      <c r="S62" s="349"/>
    </row>
    <row r="63" spans="1:22" x14ac:dyDescent="0.35">
      <c r="A63" s="1434"/>
      <c r="B63" s="295">
        <v>55</v>
      </c>
      <c r="C63" s="23">
        <v>100.8</v>
      </c>
      <c r="D63" s="24">
        <f t="shared" si="3"/>
        <v>1085.0011199999999</v>
      </c>
      <c r="E63" s="272" t="s">
        <v>8</v>
      </c>
      <c r="F63" s="272"/>
      <c r="G63" s="272"/>
      <c r="H63" s="272"/>
      <c r="I63" s="273"/>
      <c r="J63" s="274" t="s">
        <v>63</v>
      </c>
      <c r="K63" s="275"/>
      <c r="L63" s="272"/>
      <c r="M63" s="272" t="s">
        <v>8</v>
      </c>
      <c r="N63" s="272"/>
      <c r="O63" s="276"/>
      <c r="P63" s="349" t="s">
        <v>8</v>
      </c>
      <c r="Q63" s="359" t="s">
        <v>167</v>
      </c>
      <c r="R63" s="351" t="s">
        <v>8</v>
      </c>
      <c r="S63" s="349"/>
      <c r="U63" s="2" t="s">
        <v>186</v>
      </c>
    </row>
    <row r="64" spans="1:22" x14ac:dyDescent="0.35">
      <c r="A64" s="1434"/>
      <c r="B64" s="295">
        <v>56</v>
      </c>
      <c r="C64" s="23">
        <v>97.1</v>
      </c>
      <c r="D64" s="24">
        <f t="shared" si="3"/>
        <v>1045.1746899999998</v>
      </c>
      <c r="E64" s="272" t="s">
        <v>8</v>
      </c>
      <c r="F64" s="272"/>
      <c r="G64" s="272"/>
      <c r="H64" s="272"/>
      <c r="I64" s="273"/>
      <c r="J64" s="274" t="s">
        <v>63</v>
      </c>
      <c r="K64" s="275"/>
      <c r="L64" s="272"/>
      <c r="M64" s="272" t="s">
        <v>8</v>
      </c>
      <c r="N64" s="272"/>
      <c r="O64" s="276"/>
      <c r="P64" s="349"/>
      <c r="Q64" s="359" t="s">
        <v>167</v>
      </c>
      <c r="R64" s="352" t="s">
        <v>8</v>
      </c>
      <c r="S64" s="349"/>
      <c r="V64" s="2" t="s">
        <v>187</v>
      </c>
    </row>
    <row r="65" spans="1:31" x14ac:dyDescent="0.35">
      <c r="A65" s="1434"/>
      <c r="B65" s="295">
        <v>57</v>
      </c>
      <c r="C65" s="23">
        <v>97.1</v>
      </c>
      <c r="D65" s="24">
        <f t="shared" si="3"/>
        <v>1045.1746899999998</v>
      </c>
      <c r="E65" s="272" t="s">
        <v>8</v>
      </c>
      <c r="F65" s="272"/>
      <c r="G65" s="272"/>
      <c r="H65" s="272"/>
      <c r="I65" s="273"/>
      <c r="J65" s="274" t="s">
        <v>63</v>
      </c>
      <c r="K65" s="275"/>
      <c r="L65" s="272"/>
      <c r="M65" s="272" t="s">
        <v>8</v>
      </c>
      <c r="N65" s="272"/>
      <c r="O65" s="276"/>
      <c r="P65" s="349"/>
      <c r="Q65" s="359" t="s">
        <v>167</v>
      </c>
      <c r="R65" s="352" t="s">
        <v>8</v>
      </c>
      <c r="S65" s="349"/>
      <c r="V65" s="2" t="s">
        <v>188</v>
      </c>
    </row>
    <row r="66" spans="1:31" x14ac:dyDescent="0.35">
      <c r="A66" s="1434"/>
      <c r="B66" s="295">
        <v>58</v>
      </c>
      <c r="C66" s="23">
        <v>105.6</v>
      </c>
      <c r="D66" s="24">
        <f t="shared" si="3"/>
        <v>1136.6678399999998</v>
      </c>
      <c r="E66" s="272"/>
      <c r="F66" s="272"/>
      <c r="G66" s="272" t="s">
        <v>8</v>
      </c>
      <c r="H66" s="272"/>
      <c r="I66" s="273"/>
      <c r="J66" s="274" t="s">
        <v>65</v>
      </c>
      <c r="K66" s="275"/>
      <c r="L66" s="272"/>
      <c r="M66" s="272" t="s">
        <v>8</v>
      </c>
      <c r="N66" s="272"/>
      <c r="O66" s="276"/>
      <c r="P66" s="351"/>
      <c r="Q66" s="359" t="s">
        <v>166</v>
      </c>
      <c r="R66" s="349" t="s">
        <v>8</v>
      </c>
      <c r="S66" s="349"/>
      <c r="V66" s="2" t="s">
        <v>183</v>
      </c>
    </row>
    <row r="67" spans="1:31" x14ac:dyDescent="0.35">
      <c r="A67" s="1434"/>
      <c r="B67" s="295">
        <v>59</v>
      </c>
      <c r="C67" s="23">
        <v>96</v>
      </c>
      <c r="D67" s="24">
        <f t="shared" si="3"/>
        <v>1033.3344</v>
      </c>
      <c r="E67" s="272"/>
      <c r="F67" s="272"/>
      <c r="G67" s="272" t="s">
        <v>8</v>
      </c>
      <c r="H67" s="272"/>
      <c r="I67" s="273"/>
      <c r="J67" s="274" t="s">
        <v>65</v>
      </c>
      <c r="K67" s="275"/>
      <c r="L67" s="272"/>
      <c r="M67" s="272" t="s">
        <v>8</v>
      </c>
      <c r="N67" s="272"/>
      <c r="O67" s="276"/>
      <c r="P67" s="349"/>
      <c r="Q67" s="358" t="s">
        <v>166</v>
      </c>
      <c r="R67" s="349" t="s">
        <v>8</v>
      </c>
      <c r="S67" s="351"/>
    </row>
    <row r="68" spans="1:31" x14ac:dyDescent="0.35">
      <c r="A68" s="1434"/>
      <c r="B68" s="295">
        <v>60</v>
      </c>
      <c r="C68" s="23">
        <v>106</v>
      </c>
      <c r="D68" s="24">
        <f t="shared" si="3"/>
        <v>1140.9733999999999</v>
      </c>
      <c r="E68" s="272" t="s">
        <v>8</v>
      </c>
      <c r="F68" s="272"/>
      <c r="G68" s="272"/>
      <c r="H68" s="272"/>
      <c r="I68" s="273"/>
      <c r="J68" s="274" t="s">
        <v>64</v>
      </c>
      <c r="K68" s="275"/>
      <c r="L68" s="272" t="s">
        <v>8</v>
      </c>
      <c r="M68" s="272"/>
      <c r="N68" s="272"/>
      <c r="O68" s="276"/>
      <c r="P68" s="351"/>
      <c r="Q68" s="359" t="s">
        <v>168</v>
      </c>
      <c r="R68" s="351" t="s">
        <v>8</v>
      </c>
      <c r="S68" s="349"/>
    </row>
    <row r="69" spans="1:31" ht="18" thickBot="1" x14ac:dyDescent="0.4">
      <c r="A69" s="1434"/>
      <c r="B69" s="295">
        <v>61</v>
      </c>
      <c r="C69" s="23">
        <v>96.7</v>
      </c>
      <c r="D69" s="24">
        <f t="shared" si="3"/>
        <v>1040.86913</v>
      </c>
      <c r="E69" s="272"/>
      <c r="F69" s="272"/>
      <c r="G69" s="272" t="s">
        <v>8</v>
      </c>
      <c r="H69" s="272"/>
      <c r="I69" s="273"/>
      <c r="J69" s="274" t="s">
        <v>65</v>
      </c>
      <c r="K69" s="275"/>
      <c r="L69" s="272"/>
      <c r="M69" s="272" t="s">
        <v>8</v>
      </c>
      <c r="N69" s="272"/>
      <c r="O69" s="276"/>
      <c r="P69" s="349"/>
      <c r="Q69" s="358" t="s">
        <v>166</v>
      </c>
      <c r="R69" s="352" t="s">
        <v>8</v>
      </c>
      <c r="S69" s="351"/>
      <c r="W69" s="307"/>
      <c r="X69" s="307"/>
      <c r="Y69" s="307"/>
      <c r="Z69" s="307"/>
    </row>
    <row r="70" spans="1:31" ht="18" thickBot="1" x14ac:dyDescent="0.4">
      <c r="A70" s="1434"/>
      <c r="B70" s="295">
        <v>62</v>
      </c>
      <c r="C70" s="23">
        <v>104.8</v>
      </c>
      <c r="D70" s="24">
        <f t="shared" si="3"/>
        <v>1128.0567199999998</v>
      </c>
      <c r="E70" s="272"/>
      <c r="F70" s="272"/>
      <c r="G70" s="272" t="s">
        <v>8</v>
      </c>
      <c r="H70" s="272"/>
      <c r="I70" s="273"/>
      <c r="J70" s="274" t="s">
        <v>65</v>
      </c>
      <c r="K70" s="275"/>
      <c r="L70" s="272"/>
      <c r="M70" s="272" t="s">
        <v>8</v>
      </c>
      <c r="N70" s="272"/>
      <c r="O70" s="276"/>
      <c r="P70" s="351"/>
      <c r="Q70" s="358" t="s">
        <v>166</v>
      </c>
      <c r="R70" s="352" t="s">
        <v>8</v>
      </c>
      <c r="S70" s="349"/>
      <c r="V70" s="1549">
        <v>45518</v>
      </c>
      <c r="W70" s="1347"/>
      <c r="X70" s="1347"/>
      <c r="Y70" s="1421" t="s">
        <v>195</v>
      </c>
      <c r="Z70" s="1550"/>
      <c r="AA70" s="1538" t="s">
        <v>196</v>
      </c>
      <c r="AB70" s="1539"/>
    </row>
    <row r="71" spans="1:31" x14ac:dyDescent="0.35">
      <c r="A71" s="1434"/>
      <c r="B71" s="1419">
        <v>63</v>
      </c>
      <c r="C71" s="1362">
        <v>86</v>
      </c>
      <c r="D71" s="1364">
        <f t="shared" si="3"/>
        <v>925.69539999999995</v>
      </c>
      <c r="E71" s="1356" t="s">
        <v>8</v>
      </c>
      <c r="F71" s="1354"/>
      <c r="G71" s="1354"/>
      <c r="H71" s="1354"/>
      <c r="I71" s="1375"/>
      <c r="J71" s="274" t="s">
        <v>64</v>
      </c>
      <c r="K71" s="1377"/>
      <c r="L71" s="1356" t="s">
        <v>8</v>
      </c>
      <c r="M71" s="1356"/>
      <c r="N71" s="1356"/>
      <c r="O71" s="1370"/>
      <c r="P71" s="1297"/>
      <c r="Q71" s="1366" t="s">
        <v>168</v>
      </c>
      <c r="R71" s="1297" t="s">
        <v>8</v>
      </c>
      <c r="S71" s="1297"/>
      <c r="U71" s="305"/>
      <c r="V71" s="1546" t="s">
        <v>193</v>
      </c>
      <c r="W71" s="1547"/>
      <c r="X71" s="1548"/>
      <c r="Y71" s="1543">
        <v>427</v>
      </c>
      <c r="Z71" s="1544"/>
      <c r="AA71" s="1339">
        <v>639</v>
      </c>
      <c r="AB71" s="1540"/>
    </row>
    <row r="72" spans="1:31" x14ac:dyDescent="0.35">
      <c r="A72" s="1434"/>
      <c r="B72" s="1420"/>
      <c r="C72" s="1363"/>
      <c r="D72" s="1365"/>
      <c r="E72" s="1357"/>
      <c r="F72" s="1355"/>
      <c r="G72" s="1355"/>
      <c r="H72" s="1355"/>
      <c r="I72" s="1376"/>
      <c r="J72" s="274" t="s">
        <v>63</v>
      </c>
      <c r="K72" s="1378"/>
      <c r="L72" s="1357"/>
      <c r="M72" s="1357"/>
      <c r="N72" s="1357"/>
      <c r="O72" s="1371"/>
      <c r="P72" s="1298"/>
      <c r="Q72" s="1367"/>
      <c r="R72" s="1322"/>
      <c r="S72" s="1298"/>
      <c r="U72" s="305"/>
      <c r="V72" s="434"/>
      <c r="W72" s="435"/>
      <c r="X72" s="436"/>
      <c r="Y72" s="437"/>
      <c r="Z72" s="438"/>
      <c r="AA72" s="439"/>
      <c r="AB72" s="440"/>
    </row>
    <row r="73" spans="1:31" x14ac:dyDescent="0.35">
      <c r="A73" s="1434"/>
      <c r="B73" s="295">
        <v>64</v>
      </c>
      <c r="C73" s="23">
        <v>97.1</v>
      </c>
      <c r="D73" s="24">
        <f t="shared" si="3"/>
        <v>1045.1746899999998</v>
      </c>
      <c r="E73" s="272" t="s">
        <v>8</v>
      </c>
      <c r="F73" s="272"/>
      <c r="G73" s="272"/>
      <c r="H73" s="272"/>
      <c r="I73" s="273"/>
      <c r="J73" s="274" t="s">
        <v>63</v>
      </c>
      <c r="K73" s="275"/>
      <c r="L73" s="272"/>
      <c r="M73" s="272" t="s">
        <v>8</v>
      </c>
      <c r="N73" s="272"/>
      <c r="O73" s="276"/>
      <c r="P73" s="349"/>
      <c r="Q73" s="359" t="s">
        <v>167</v>
      </c>
      <c r="R73" s="349" t="s">
        <v>8</v>
      </c>
      <c r="S73" s="349"/>
      <c r="U73" s="305"/>
      <c r="V73" s="1531" t="s">
        <v>194</v>
      </c>
      <c r="W73" s="1532"/>
      <c r="X73" s="1533"/>
      <c r="Y73" s="1142">
        <v>317</v>
      </c>
      <c r="Z73" s="1144"/>
      <c r="AA73" s="1541">
        <v>618</v>
      </c>
      <c r="AB73" s="1519"/>
    </row>
    <row r="74" spans="1:31" ht="18" thickBot="1" x14ac:dyDescent="0.4">
      <c r="A74" s="1434"/>
      <c r="B74" s="295">
        <v>65</v>
      </c>
      <c r="C74" s="23">
        <v>97.1</v>
      </c>
      <c r="D74" s="24">
        <f t="shared" si="3"/>
        <v>1045.1746899999998</v>
      </c>
      <c r="E74" s="272" t="s">
        <v>8</v>
      </c>
      <c r="F74" s="272"/>
      <c r="G74" s="272"/>
      <c r="H74" s="272"/>
      <c r="I74" s="273"/>
      <c r="J74" s="274" t="s">
        <v>63</v>
      </c>
      <c r="K74" s="275"/>
      <c r="L74" s="272"/>
      <c r="M74" s="272" t="s">
        <v>8</v>
      </c>
      <c r="N74" s="272"/>
      <c r="O74" s="276"/>
      <c r="P74" s="349"/>
      <c r="Q74" s="359" t="s">
        <v>167</v>
      </c>
      <c r="R74" s="351" t="s">
        <v>8</v>
      </c>
      <c r="S74" s="349"/>
      <c r="U74" s="305"/>
      <c r="V74" s="1527"/>
      <c r="W74" s="1474"/>
      <c r="X74" s="1534"/>
      <c r="Y74" s="1527" t="s">
        <v>198</v>
      </c>
      <c r="Z74" s="1475"/>
      <c r="AA74" s="1542" t="s">
        <v>197</v>
      </c>
      <c r="AB74" s="1534"/>
    </row>
    <row r="75" spans="1:31" x14ac:dyDescent="0.35">
      <c r="A75" s="1434"/>
      <c r="B75" s="295">
        <v>66</v>
      </c>
      <c r="C75" s="23">
        <v>130</v>
      </c>
      <c r="D75" s="24">
        <f t="shared" si="3"/>
        <v>1399.307</v>
      </c>
      <c r="E75" s="272" t="s">
        <v>8</v>
      </c>
      <c r="F75" s="272"/>
      <c r="G75" s="272"/>
      <c r="H75" s="272"/>
      <c r="I75" s="273"/>
      <c r="J75" s="274" t="s">
        <v>159</v>
      </c>
      <c r="K75" s="275"/>
      <c r="L75" s="272"/>
      <c r="M75" s="272"/>
      <c r="N75" s="272" t="s">
        <v>8</v>
      </c>
      <c r="O75" s="276"/>
      <c r="P75" s="350" t="s">
        <v>8</v>
      </c>
      <c r="Q75" s="359" t="s">
        <v>167</v>
      </c>
      <c r="R75" s="352" t="s">
        <v>8</v>
      </c>
      <c r="S75" s="349"/>
    </row>
    <row r="76" spans="1:31" x14ac:dyDescent="0.35">
      <c r="A76" s="1434"/>
      <c r="B76" s="295">
        <v>67</v>
      </c>
      <c r="C76" s="23">
        <v>84.2</v>
      </c>
      <c r="D76" s="24">
        <f t="shared" si="3"/>
        <v>906.32038</v>
      </c>
      <c r="E76" s="272" t="s">
        <v>8</v>
      </c>
      <c r="F76" s="272"/>
      <c r="G76" s="272"/>
      <c r="H76" s="272"/>
      <c r="I76" s="273"/>
      <c r="J76" s="274" t="s">
        <v>160</v>
      </c>
      <c r="K76" s="275"/>
      <c r="L76" s="272"/>
      <c r="M76" s="272" t="s">
        <v>8</v>
      </c>
      <c r="N76" s="272"/>
      <c r="O76" s="276"/>
      <c r="P76" s="350"/>
      <c r="Q76" s="358" t="s">
        <v>166</v>
      </c>
      <c r="R76" s="349" t="s">
        <v>8</v>
      </c>
      <c r="S76" s="351"/>
    </row>
    <row r="77" spans="1:31" x14ac:dyDescent="0.35">
      <c r="A77" s="1434"/>
      <c r="B77" s="1419">
        <v>68</v>
      </c>
      <c r="C77" s="1362">
        <v>92.4</v>
      </c>
      <c r="D77" s="1364">
        <f t="shared" si="3"/>
        <v>994.58436000000006</v>
      </c>
      <c r="E77" s="1356" t="s">
        <v>8</v>
      </c>
      <c r="F77" s="1354"/>
      <c r="G77" s="1354"/>
      <c r="H77" s="1354"/>
      <c r="I77" s="1375"/>
      <c r="J77" s="274" t="s">
        <v>63</v>
      </c>
      <c r="K77" s="1377"/>
      <c r="L77" s="1354"/>
      <c r="M77" s="1356" t="s">
        <v>8</v>
      </c>
      <c r="N77" s="1356"/>
      <c r="O77" s="1370"/>
      <c r="P77" s="1297" t="s">
        <v>8</v>
      </c>
      <c r="Q77" s="1366" t="s">
        <v>167</v>
      </c>
      <c r="R77" s="1322" t="s">
        <v>8</v>
      </c>
      <c r="S77" s="1297"/>
    </row>
    <row r="78" spans="1:31" ht="18" thickBot="1" x14ac:dyDescent="0.4">
      <c r="A78" s="1434"/>
      <c r="B78" s="1420"/>
      <c r="C78" s="1363"/>
      <c r="D78" s="1365"/>
      <c r="E78" s="1357"/>
      <c r="F78" s="1355"/>
      <c r="G78" s="1355"/>
      <c r="H78" s="1355"/>
      <c r="I78" s="1376"/>
      <c r="J78" s="274" t="s">
        <v>159</v>
      </c>
      <c r="K78" s="1378"/>
      <c r="L78" s="1355"/>
      <c r="M78" s="1357"/>
      <c r="N78" s="1357"/>
      <c r="O78" s="1371"/>
      <c r="P78" s="1298"/>
      <c r="Q78" s="1367"/>
      <c r="R78" s="1322"/>
      <c r="S78" s="1298"/>
      <c r="V78" s="307"/>
      <c r="W78" s="307"/>
      <c r="X78" s="307"/>
      <c r="Y78" s="307"/>
      <c r="Z78" s="307"/>
      <c r="AA78" s="307"/>
      <c r="AB78" s="307"/>
      <c r="AC78" s="307"/>
      <c r="AD78" s="307"/>
    </row>
    <row r="79" spans="1:31" ht="18" thickBot="1" x14ac:dyDescent="0.4">
      <c r="A79" s="1434"/>
      <c r="B79" s="1419">
        <v>69</v>
      </c>
      <c r="C79" s="1362">
        <v>92.4</v>
      </c>
      <c r="D79" s="1364">
        <f t="shared" si="3"/>
        <v>994.58436000000006</v>
      </c>
      <c r="E79" s="1356" t="s">
        <v>8</v>
      </c>
      <c r="F79" s="1354"/>
      <c r="G79" s="1354"/>
      <c r="H79" s="1354"/>
      <c r="I79" s="1375"/>
      <c r="J79" s="274" t="s">
        <v>63</v>
      </c>
      <c r="K79" s="1377"/>
      <c r="L79" s="1354"/>
      <c r="M79" s="1356" t="s">
        <v>8</v>
      </c>
      <c r="N79" s="1356"/>
      <c r="O79" s="1370"/>
      <c r="P79" s="1297" t="s">
        <v>8</v>
      </c>
      <c r="Q79" s="1366" t="s">
        <v>167</v>
      </c>
      <c r="R79" s="1297" t="s">
        <v>8</v>
      </c>
      <c r="S79" s="1297"/>
      <c r="U79" s="305"/>
      <c r="V79" s="1346"/>
      <c r="W79" s="1347"/>
      <c r="X79" s="1347"/>
      <c r="Y79" s="1348"/>
      <c r="Z79" s="387" t="s">
        <v>204</v>
      </c>
      <c r="AA79" s="395" t="s">
        <v>205</v>
      </c>
      <c r="AB79" s="395" t="s">
        <v>206</v>
      </c>
      <c r="AC79" s="395" t="s">
        <v>207</v>
      </c>
      <c r="AD79" s="384" t="s">
        <v>205</v>
      </c>
      <c r="AE79" s="399" t="s">
        <v>52</v>
      </c>
    </row>
    <row r="80" spans="1:31" ht="18" thickBot="1" x14ac:dyDescent="0.4">
      <c r="A80" s="1434"/>
      <c r="B80" s="1420"/>
      <c r="C80" s="1363"/>
      <c r="D80" s="1365"/>
      <c r="E80" s="1357"/>
      <c r="F80" s="1355"/>
      <c r="G80" s="1355"/>
      <c r="H80" s="1355"/>
      <c r="I80" s="1376"/>
      <c r="J80" s="274" t="s">
        <v>159</v>
      </c>
      <c r="K80" s="1378"/>
      <c r="L80" s="1355"/>
      <c r="M80" s="1357"/>
      <c r="N80" s="1357"/>
      <c r="O80" s="1371"/>
      <c r="P80" s="1298"/>
      <c r="Q80" s="1367"/>
      <c r="R80" s="1298"/>
      <c r="S80" s="1298"/>
      <c r="U80" s="305"/>
      <c r="V80" s="441"/>
      <c r="W80" s="442"/>
      <c r="X80" s="442"/>
      <c r="Y80" s="443"/>
      <c r="Z80" s="444"/>
      <c r="AA80" s="445"/>
      <c r="AB80" s="445"/>
      <c r="AC80" s="445"/>
      <c r="AD80" s="427"/>
      <c r="AE80" s="398"/>
    </row>
    <row r="81" spans="1:31" x14ac:dyDescent="0.35">
      <c r="A81" s="1434"/>
      <c r="B81" s="1419">
        <v>70</v>
      </c>
      <c r="C81" s="1362">
        <v>94.6</v>
      </c>
      <c r="D81" s="1364">
        <f>SUM(C81*10.7639)</f>
        <v>1018.2649399999999</v>
      </c>
      <c r="E81" s="1356" t="s">
        <v>8</v>
      </c>
      <c r="F81" s="1354"/>
      <c r="G81" s="1354"/>
      <c r="H81" s="1354"/>
      <c r="I81" s="1375"/>
      <c r="J81" s="274" t="s">
        <v>159</v>
      </c>
      <c r="K81" s="1377"/>
      <c r="L81" s="1354"/>
      <c r="M81" s="1356" t="s">
        <v>8</v>
      </c>
      <c r="N81" s="1356"/>
      <c r="O81" s="1370"/>
      <c r="P81" s="1297"/>
      <c r="Q81" s="1366" t="s">
        <v>167</v>
      </c>
      <c r="R81" s="1297" t="s">
        <v>8</v>
      </c>
      <c r="S81" s="1297"/>
      <c r="U81" s="305"/>
      <c r="V81" s="1543" t="s">
        <v>201</v>
      </c>
      <c r="W81" s="1544"/>
      <c r="X81" s="1544"/>
      <c r="Y81" s="1540"/>
      <c r="Z81" s="392">
        <v>38</v>
      </c>
      <c r="AA81" s="396">
        <v>100</v>
      </c>
      <c r="AB81" s="396">
        <v>99</v>
      </c>
      <c r="AC81" s="396"/>
      <c r="AD81" s="390">
        <v>104</v>
      </c>
      <c r="AE81" s="398">
        <f>SUM(Z81:AD81)</f>
        <v>341</v>
      </c>
    </row>
    <row r="82" spans="1:31" x14ac:dyDescent="0.35">
      <c r="A82" s="1434"/>
      <c r="B82" s="1442"/>
      <c r="C82" s="1386"/>
      <c r="D82" s="1387"/>
      <c r="E82" s="1384"/>
      <c r="F82" s="1383"/>
      <c r="G82" s="1383"/>
      <c r="H82" s="1383"/>
      <c r="I82" s="1388"/>
      <c r="J82" s="274" t="s">
        <v>160</v>
      </c>
      <c r="K82" s="1389"/>
      <c r="L82" s="1383"/>
      <c r="M82" s="1384"/>
      <c r="N82" s="1384"/>
      <c r="O82" s="1385"/>
      <c r="P82" s="1322"/>
      <c r="Q82" s="1374"/>
      <c r="R82" s="1322"/>
      <c r="S82" s="1322"/>
      <c r="U82" s="305"/>
      <c r="V82" s="437"/>
      <c r="W82" s="438"/>
      <c r="X82" s="438"/>
      <c r="Y82" s="440"/>
      <c r="Z82" s="446"/>
      <c r="AA82" s="447"/>
      <c r="AB82" s="447"/>
      <c r="AC82" s="447"/>
      <c r="AD82" s="314"/>
      <c r="AE82" s="398"/>
    </row>
    <row r="83" spans="1:31" x14ac:dyDescent="0.35">
      <c r="A83" s="1434"/>
      <c r="B83" s="1420"/>
      <c r="C83" s="1363"/>
      <c r="D83" s="1365"/>
      <c r="E83" s="1357"/>
      <c r="F83" s="1355"/>
      <c r="G83" s="1355"/>
      <c r="H83" s="1355"/>
      <c r="I83" s="1376"/>
      <c r="J83" s="274" t="s">
        <v>66</v>
      </c>
      <c r="K83" s="1378"/>
      <c r="L83" s="1355"/>
      <c r="M83" s="1357"/>
      <c r="N83" s="1357"/>
      <c r="O83" s="1371"/>
      <c r="P83" s="1322"/>
      <c r="Q83" s="1367"/>
      <c r="R83" s="1322"/>
      <c r="S83" s="1298"/>
      <c r="U83" s="305"/>
      <c r="V83" s="437"/>
      <c r="W83" s="438"/>
      <c r="X83" s="438"/>
      <c r="Y83" s="440"/>
      <c r="Z83" s="446"/>
      <c r="AA83" s="447"/>
      <c r="AB83" s="447"/>
      <c r="AC83" s="447"/>
      <c r="AD83" s="314"/>
      <c r="AE83" s="398"/>
    </row>
    <row r="84" spans="1:31" x14ac:dyDescent="0.35">
      <c r="A84" s="1434"/>
      <c r="B84" s="295">
        <v>71</v>
      </c>
      <c r="C84" s="23">
        <v>113.8</v>
      </c>
      <c r="D84" s="24">
        <f t="shared" si="3"/>
        <v>1224.93182</v>
      </c>
      <c r="E84" s="272" t="s">
        <v>8</v>
      </c>
      <c r="F84" s="272"/>
      <c r="G84" s="272"/>
      <c r="H84" s="272"/>
      <c r="I84" s="273"/>
      <c r="J84" s="274" t="s">
        <v>65</v>
      </c>
      <c r="K84" s="275"/>
      <c r="L84" s="272"/>
      <c r="M84" s="272" t="s">
        <v>8</v>
      </c>
      <c r="N84" s="272"/>
      <c r="O84" s="276"/>
      <c r="P84" s="351" t="s">
        <v>8</v>
      </c>
      <c r="Q84" s="359" t="s">
        <v>167</v>
      </c>
      <c r="R84" s="352" t="s">
        <v>8</v>
      </c>
      <c r="S84" s="349"/>
      <c r="U84" s="305"/>
      <c r="V84" s="1142" t="s">
        <v>200</v>
      </c>
      <c r="W84" s="1143"/>
      <c r="X84" s="1143"/>
      <c r="Y84" s="1519"/>
      <c r="Z84" s="393">
        <v>6</v>
      </c>
      <c r="AA84" s="394"/>
      <c r="AB84" s="394"/>
      <c r="AC84" s="394">
        <v>99</v>
      </c>
      <c r="AD84" s="389"/>
      <c r="AE84" s="400">
        <f>SUM(Z84:AD84)</f>
        <v>105</v>
      </c>
    </row>
    <row r="85" spans="1:31" x14ac:dyDescent="0.35">
      <c r="A85" s="1434"/>
      <c r="B85" s="295">
        <v>72</v>
      </c>
      <c r="C85" s="23">
        <v>130</v>
      </c>
      <c r="D85" s="24">
        <f t="shared" ref="D85:D91" si="4">SUM(C85*10.7639)</f>
        <v>1399.307</v>
      </c>
      <c r="E85" s="272" t="s">
        <v>8</v>
      </c>
      <c r="F85" s="272"/>
      <c r="G85" s="272"/>
      <c r="H85" s="272"/>
      <c r="I85" s="273"/>
      <c r="J85" s="274" t="s">
        <v>159</v>
      </c>
      <c r="K85" s="275"/>
      <c r="L85" s="272"/>
      <c r="M85" s="272"/>
      <c r="N85" s="272" t="s">
        <v>8</v>
      </c>
      <c r="O85" s="276"/>
      <c r="P85" s="349" t="s">
        <v>8</v>
      </c>
      <c r="Q85" s="359" t="s">
        <v>167</v>
      </c>
      <c r="R85" s="352" t="s">
        <v>8</v>
      </c>
      <c r="S85" s="349"/>
      <c r="U85" s="305"/>
      <c r="V85" s="1142" t="s">
        <v>202</v>
      </c>
      <c r="W85" s="1143"/>
      <c r="X85" s="1143"/>
      <c r="Y85" s="1519"/>
      <c r="Z85" s="393">
        <v>17</v>
      </c>
      <c r="AA85" s="394"/>
      <c r="AB85" s="394"/>
      <c r="AC85" s="394">
        <v>1</v>
      </c>
      <c r="AD85" s="389"/>
      <c r="AE85" s="400">
        <f>SUM(Z85:AD85)</f>
        <v>18</v>
      </c>
    </row>
    <row r="86" spans="1:31" x14ac:dyDescent="0.35">
      <c r="A86" s="1434"/>
      <c r="B86" s="1125">
        <v>73</v>
      </c>
      <c r="C86" s="23">
        <v>54.1</v>
      </c>
      <c r="D86" s="24">
        <f t="shared" si="4"/>
        <v>582.32699000000002</v>
      </c>
      <c r="E86" s="272"/>
      <c r="F86" s="272"/>
      <c r="G86" s="272" t="s">
        <v>8</v>
      </c>
      <c r="H86" s="272"/>
      <c r="I86" s="273"/>
      <c r="J86" s="274" t="s">
        <v>64</v>
      </c>
      <c r="K86" s="275" t="s">
        <v>8</v>
      </c>
      <c r="L86" s="272"/>
      <c r="M86" s="272"/>
      <c r="N86" s="272"/>
      <c r="O86" s="276"/>
      <c r="P86" s="349"/>
      <c r="Q86" s="359" t="s">
        <v>166</v>
      </c>
      <c r="R86" s="352" t="s">
        <v>8</v>
      </c>
      <c r="S86" s="351"/>
      <c r="U86" s="305"/>
      <c r="V86" s="1532" t="s">
        <v>199</v>
      </c>
      <c r="W86" s="1532"/>
      <c r="X86" s="1532"/>
      <c r="Y86" s="1533"/>
      <c r="Z86" s="391">
        <v>2</v>
      </c>
      <c r="AA86" s="394"/>
      <c r="AB86" s="394"/>
      <c r="AC86" s="394"/>
      <c r="AD86" s="388"/>
      <c r="AE86" s="400">
        <f>SUM(Z86:AD86)</f>
        <v>2</v>
      </c>
    </row>
    <row r="87" spans="1:31" ht="18" thickBot="1" x14ac:dyDescent="0.4">
      <c r="A87" s="1434"/>
      <c r="B87" s="1125">
        <v>74</v>
      </c>
      <c r="C87" s="23">
        <v>82.4</v>
      </c>
      <c r="D87" s="24">
        <f t="shared" si="4"/>
        <v>886.94536000000005</v>
      </c>
      <c r="E87" s="272"/>
      <c r="F87" s="272"/>
      <c r="G87" s="272" t="s">
        <v>8</v>
      </c>
      <c r="H87" s="272"/>
      <c r="I87" s="273"/>
      <c r="J87" s="274" t="s">
        <v>64</v>
      </c>
      <c r="K87" s="275"/>
      <c r="L87" s="272" t="s">
        <v>8</v>
      </c>
      <c r="M87" s="272"/>
      <c r="N87" s="272"/>
      <c r="O87" s="276"/>
      <c r="P87" s="349"/>
      <c r="Q87" s="358" t="s">
        <v>166</v>
      </c>
      <c r="R87" s="352" t="s">
        <v>8</v>
      </c>
      <c r="S87" s="352"/>
      <c r="U87" s="305"/>
      <c r="V87" s="1520" t="s">
        <v>203</v>
      </c>
      <c r="W87" s="1520"/>
      <c r="X87" s="1520"/>
      <c r="Y87" s="1521"/>
      <c r="Z87" s="315">
        <v>4</v>
      </c>
      <c r="AA87" s="397"/>
      <c r="AB87" s="397"/>
      <c r="AC87" s="397"/>
      <c r="AD87" s="317"/>
      <c r="AE87" s="401">
        <f>SUM(Z87:AD87)</f>
        <v>4</v>
      </c>
    </row>
    <row r="88" spans="1:31" x14ac:dyDescent="0.35">
      <c r="A88" s="1434"/>
      <c r="B88" s="1125">
        <v>75</v>
      </c>
      <c r="C88" s="23">
        <v>54.1</v>
      </c>
      <c r="D88" s="24">
        <f t="shared" si="4"/>
        <v>582.32699000000002</v>
      </c>
      <c r="E88" s="272"/>
      <c r="F88" s="272"/>
      <c r="G88" s="272" t="s">
        <v>8</v>
      </c>
      <c r="H88" s="272"/>
      <c r="I88" s="273"/>
      <c r="J88" s="274" t="s">
        <v>65</v>
      </c>
      <c r="K88" s="275" t="s">
        <v>8</v>
      </c>
      <c r="L88" s="272"/>
      <c r="M88" s="272"/>
      <c r="N88" s="272"/>
      <c r="O88" s="276"/>
      <c r="P88" s="349"/>
      <c r="Q88" s="1110" t="s">
        <v>166</v>
      </c>
      <c r="R88" s="349"/>
      <c r="S88" s="352" t="s">
        <v>8</v>
      </c>
    </row>
    <row r="89" spans="1:31" x14ac:dyDescent="0.35">
      <c r="A89" s="1434"/>
      <c r="B89" s="1125">
        <v>76</v>
      </c>
      <c r="C89" s="23">
        <v>93.3</v>
      </c>
      <c r="D89" s="24">
        <f t="shared" si="4"/>
        <v>1004.2718699999999</v>
      </c>
      <c r="E89" s="272"/>
      <c r="F89" s="272"/>
      <c r="G89" s="272" t="s">
        <v>8</v>
      </c>
      <c r="H89" s="272"/>
      <c r="I89" s="273"/>
      <c r="J89" s="274" t="s">
        <v>65</v>
      </c>
      <c r="K89" s="275"/>
      <c r="L89" s="272"/>
      <c r="M89" s="272" t="s">
        <v>8</v>
      </c>
      <c r="N89" s="272"/>
      <c r="O89" s="276"/>
      <c r="P89" s="349"/>
      <c r="Q89" s="1110" t="s">
        <v>166</v>
      </c>
      <c r="R89" s="351"/>
      <c r="S89" s="352" t="s">
        <v>8</v>
      </c>
    </row>
    <row r="90" spans="1:31" x14ac:dyDescent="0.35">
      <c r="A90" s="1434"/>
      <c r="B90" s="1125">
        <v>77</v>
      </c>
      <c r="C90" s="23">
        <v>72.7</v>
      </c>
      <c r="D90" s="24">
        <f t="shared" si="4"/>
        <v>782.53552999999999</v>
      </c>
      <c r="E90" s="272"/>
      <c r="F90" s="272"/>
      <c r="G90" s="272" t="s">
        <v>8</v>
      </c>
      <c r="H90" s="272"/>
      <c r="I90" s="273"/>
      <c r="J90" s="274" t="s">
        <v>65</v>
      </c>
      <c r="K90" s="275"/>
      <c r="L90" s="272" t="s">
        <v>8</v>
      </c>
      <c r="M90" s="272"/>
      <c r="N90" s="272"/>
      <c r="O90" s="276"/>
      <c r="P90" s="351"/>
      <c r="Q90" s="359" t="s">
        <v>166</v>
      </c>
      <c r="R90" s="349"/>
      <c r="S90" s="352" t="s">
        <v>8</v>
      </c>
    </row>
    <row r="91" spans="1:31" x14ac:dyDescent="0.35">
      <c r="A91" s="1434"/>
      <c r="B91" s="1125">
        <v>78</v>
      </c>
      <c r="C91" s="23">
        <v>78.599999999999994</v>
      </c>
      <c r="D91" s="24">
        <f t="shared" si="4"/>
        <v>846.04253999999992</v>
      </c>
      <c r="E91" s="272"/>
      <c r="F91" s="272"/>
      <c r="G91" s="272" t="s">
        <v>8</v>
      </c>
      <c r="H91" s="272"/>
      <c r="I91" s="273"/>
      <c r="J91" s="274" t="s">
        <v>65</v>
      </c>
      <c r="K91" s="275"/>
      <c r="L91" s="272" t="s">
        <v>8</v>
      </c>
      <c r="M91" s="272"/>
      <c r="N91" s="272"/>
      <c r="O91" s="276"/>
      <c r="P91" s="349" t="s">
        <v>8</v>
      </c>
      <c r="Q91" s="359" t="s">
        <v>166</v>
      </c>
      <c r="R91" s="349"/>
      <c r="S91" s="352" t="s">
        <v>8</v>
      </c>
    </row>
    <row r="92" spans="1:31" x14ac:dyDescent="0.35">
      <c r="A92" s="1434"/>
      <c r="B92" s="295">
        <v>79</v>
      </c>
      <c r="C92" s="23">
        <v>84.7</v>
      </c>
      <c r="D92" s="24">
        <f>SUM(C92*10.7639)</f>
        <v>911.70232999999996</v>
      </c>
      <c r="E92" s="272"/>
      <c r="F92" s="272"/>
      <c r="G92" s="272" t="s">
        <v>8</v>
      </c>
      <c r="H92" s="272"/>
      <c r="I92" s="273"/>
      <c r="J92" s="274" t="s">
        <v>65</v>
      </c>
      <c r="K92" s="275"/>
      <c r="L92" s="272"/>
      <c r="M92" s="272" t="s">
        <v>8</v>
      </c>
      <c r="N92" s="272"/>
      <c r="O92" s="276"/>
      <c r="P92" s="349"/>
      <c r="Q92" s="358" t="s">
        <v>166</v>
      </c>
      <c r="R92" s="351"/>
      <c r="S92" s="349" t="s">
        <v>8</v>
      </c>
    </row>
    <row r="93" spans="1:31" x14ac:dyDescent="0.35">
      <c r="A93" s="1434"/>
      <c r="B93" s="295">
        <v>80</v>
      </c>
      <c r="C93" s="23">
        <v>84.7</v>
      </c>
      <c r="D93" s="24">
        <f>SUM(C93*10.7639)</f>
        <v>911.70232999999996</v>
      </c>
      <c r="E93" s="272"/>
      <c r="F93" s="272"/>
      <c r="G93" s="272" t="s">
        <v>8</v>
      </c>
      <c r="H93" s="272"/>
      <c r="I93" s="273"/>
      <c r="J93" s="274" t="s">
        <v>65</v>
      </c>
      <c r="K93" s="275"/>
      <c r="L93" s="272"/>
      <c r="M93" s="272" t="s">
        <v>8</v>
      </c>
      <c r="N93" s="272"/>
      <c r="O93" s="276"/>
      <c r="P93" s="350"/>
      <c r="Q93" s="359" t="s">
        <v>166</v>
      </c>
      <c r="R93" s="349"/>
      <c r="S93" s="349" t="s">
        <v>8</v>
      </c>
    </row>
    <row r="94" spans="1:31" x14ac:dyDescent="0.35">
      <c r="A94" s="1434"/>
      <c r="B94" s="1125">
        <v>81</v>
      </c>
      <c r="C94" s="23">
        <v>49.3</v>
      </c>
      <c r="D94" s="24">
        <f t="shared" ref="D94:D174" si="5">SUM(C94*10.7639)</f>
        <v>530.66026999999997</v>
      </c>
      <c r="E94" s="272"/>
      <c r="F94" s="272"/>
      <c r="G94" s="272" t="s">
        <v>8</v>
      </c>
      <c r="H94" s="272"/>
      <c r="I94" s="273"/>
      <c r="J94" s="274" t="s">
        <v>65</v>
      </c>
      <c r="K94" s="275" t="s">
        <v>8</v>
      </c>
      <c r="L94" s="272"/>
      <c r="M94" s="272"/>
      <c r="N94" s="272"/>
      <c r="O94" s="276"/>
      <c r="P94" s="350"/>
      <c r="Q94" s="358" t="s">
        <v>166</v>
      </c>
      <c r="R94" s="351" t="s">
        <v>8</v>
      </c>
      <c r="S94" s="351"/>
    </row>
    <row r="95" spans="1:31" x14ac:dyDescent="0.35">
      <c r="A95" s="1434"/>
      <c r="B95" s="1125">
        <v>82</v>
      </c>
      <c r="C95" s="23">
        <v>72.7</v>
      </c>
      <c r="D95" s="24">
        <f t="shared" si="5"/>
        <v>782.53552999999999</v>
      </c>
      <c r="E95" s="272"/>
      <c r="F95" s="272"/>
      <c r="G95" s="272" t="s">
        <v>8</v>
      </c>
      <c r="H95" s="272"/>
      <c r="I95" s="273"/>
      <c r="J95" s="274" t="s">
        <v>64</v>
      </c>
      <c r="K95" s="275"/>
      <c r="L95" s="272" t="s">
        <v>8</v>
      </c>
      <c r="M95" s="272"/>
      <c r="N95" s="272"/>
      <c r="O95" s="276"/>
      <c r="P95" s="351"/>
      <c r="Q95" s="359" t="s">
        <v>166</v>
      </c>
      <c r="R95" s="352" t="s">
        <v>8</v>
      </c>
      <c r="S95" s="352"/>
    </row>
    <row r="96" spans="1:31" ht="17.25" customHeight="1" x14ac:dyDescent="0.35">
      <c r="A96" s="1434"/>
      <c r="B96" s="1125">
        <v>83</v>
      </c>
      <c r="C96" s="23">
        <v>78</v>
      </c>
      <c r="D96" s="24">
        <f t="shared" si="5"/>
        <v>839.58420000000001</v>
      </c>
      <c r="E96" s="272" t="s">
        <v>8</v>
      </c>
      <c r="F96" s="272"/>
      <c r="G96" s="272"/>
      <c r="H96" s="272"/>
      <c r="I96" s="273"/>
      <c r="J96" s="274" t="s">
        <v>64</v>
      </c>
      <c r="K96" s="275"/>
      <c r="L96" s="272" t="s">
        <v>8</v>
      </c>
      <c r="M96" s="272"/>
      <c r="N96" s="272"/>
      <c r="O96" s="276"/>
      <c r="P96" s="349"/>
      <c r="Q96" s="358" t="s">
        <v>166</v>
      </c>
      <c r="R96" s="352" t="s">
        <v>8</v>
      </c>
      <c r="S96" s="352"/>
    </row>
    <row r="97" spans="1:19" x14ac:dyDescent="0.35">
      <c r="A97" s="1434"/>
      <c r="B97" s="1125">
        <v>84</v>
      </c>
      <c r="C97" s="23">
        <v>90.2</v>
      </c>
      <c r="D97" s="24">
        <f t="shared" si="5"/>
        <v>970.90377999999998</v>
      </c>
      <c r="E97" s="272" t="s">
        <v>8</v>
      </c>
      <c r="F97" s="272"/>
      <c r="G97" s="272"/>
      <c r="H97" s="272"/>
      <c r="I97" s="273"/>
      <c r="J97" s="274" t="s">
        <v>64</v>
      </c>
      <c r="K97" s="275"/>
      <c r="L97" s="272" t="s">
        <v>8</v>
      </c>
      <c r="M97" s="272"/>
      <c r="N97" s="272"/>
      <c r="O97" s="276"/>
      <c r="P97" s="350"/>
      <c r="Q97" s="1110" t="s">
        <v>166</v>
      </c>
      <c r="R97" s="349" t="s">
        <v>8</v>
      </c>
      <c r="S97" s="352"/>
    </row>
    <row r="98" spans="1:19" x14ac:dyDescent="0.35">
      <c r="A98" s="1434"/>
      <c r="B98" s="1125">
        <v>85</v>
      </c>
      <c r="C98" s="23">
        <v>78</v>
      </c>
      <c r="D98" s="24">
        <f t="shared" si="5"/>
        <v>839.58420000000001</v>
      </c>
      <c r="E98" s="272" t="s">
        <v>8</v>
      </c>
      <c r="F98" s="272"/>
      <c r="G98" s="272"/>
      <c r="H98" s="272"/>
      <c r="I98" s="273"/>
      <c r="J98" s="274" t="s">
        <v>64</v>
      </c>
      <c r="K98" s="275"/>
      <c r="L98" s="272" t="s">
        <v>8</v>
      </c>
      <c r="M98" s="272"/>
      <c r="N98" s="272"/>
      <c r="O98" s="276"/>
      <c r="P98" s="350"/>
      <c r="Q98" s="1110" t="s">
        <v>166</v>
      </c>
      <c r="R98" s="351" t="s">
        <v>8</v>
      </c>
      <c r="S98" s="352"/>
    </row>
    <row r="99" spans="1:19" x14ac:dyDescent="0.35">
      <c r="A99" s="1435"/>
      <c r="B99" s="1125">
        <v>86</v>
      </c>
      <c r="C99" s="23">
        <v>78</v>
      </c>
      <c r="D99" s="24">
        <f t="shared" si="5"/>
        <v>839.58420000000001</v>
      </c>
      <c r="E99" s="272" t="s">
        <v>8</v>
      </c>
      <c r="F99" s="272"/>
      <c r="G99" s="272"/>
      <c r="H99" s="272"/>
      <c r="I99" s="273"/>
      <c r="J99" s="274" t="s">
        <v>64</v>
      </c>
      <c r="K99" s="275"/>
      <c r="L99" s="272" t="s">
        <v>8</v>
      </c>
      <c r="M99" s="272"/>
      <c r="N99" s="272"/>
      <c r="O99" s="276"/>
      <c r="P99" s="351"/>
      <c r="Q99" s="359" t="s">
        <v>166</v>
      </c>
      <c r="R99" s="349" t="s">
        <v>8</v>
      </c>
      <c r="S99" s="349"/>
    </row>
    <row r="100" spans="1:19" x14ac:dyDescent="0.35">
      <c r="A100" s="1427" t="s">
        <v>119</v>
      </c>
      <c r="B100" s="1360">
        <v>87</v>
      </c>
      <c r="C100" s="1362">
        <v>99.1</v>
      </c>
      <c r="D100" s="1364">
        <f t="shared" si="5"/>
        <v>1066.7024899999999</v>
      </c>
      <c r="E100" s="1356" t="s">
        <v>8</v>
      </c>
      <c r="F100" s="1354"/>
      <c r="G100" s="1354"/>
      <c r="H100" s="1354"/>
      <c r="I100" s="1375"/>
      <c r="J100" s="274" t="s">
        <v>159</v>
      </c>
      <c r="K100" s="1377"/>
      <c r="L100" s="1354"/>
      <c r="M100" s="1356" t="s">
        <v>8</v>
      </c>
      <c r="N100" s="1356"/>
      <c r="O100" s="1370"/>
      <c r="P100" s="1297"/>
      <c r="Q100" s="1366" t="s">
        <v>167</v>
      </c>
      <c r="R100" s="1297" t="s">
        <v>8</v>
      </c>
      <c r="S100" s="1297"/>
    </row>
    <row r="101" spans="1:19" x14ac:dyDescent="0.35">
      <c r="A101" s="1428"/>
      <c r="B101" s="1361"/>
      <c r="C101" s="1363"/>
      <c r="D101" s="1365"/>
      <c r="E101" s="1357"/>
      <c r="F101" s="1355"/>
      <c r="G101" s="1355"/>
      <c r="H101" s="1355"/>
      <c r="I101" s="1376"/>
      <c r="J101" s="274" t="s">
        <v>66</v>
      </c>
      <c r="K101" s="1378"/>
      <c r="L101" s="1355"/>
      <c r="M101" s="1357"/>
      <c r="N101" s="1357"/>
      <c r="O101" s="1371"/>
      <c r="P101" s="1322"/>
      <c r="Q101" s="1367"/>
      <c r="R101" s="1298"/>
      <c r="S101" s="1298"/>
    </row>
    <row r="102" spans="1:19" x14ac:dyDescent="0.35">
      <c r="A102" s="1428"/>
      <c r="B102" s="1360">
        <v>88</v>
      </c>
      <c r="C102" s="1362">
        <v>131.4</v>
      </c>
      <c r="D102" s="1364">
        <f t="shared" si="5"/>
        <v>1414.37646</v>
      </c>
      <c r="E102" s="1356" t="s">
        <v>8</v>
      </c>
      <c r="F102" s="1354"/>
      <c r="G102" s="1354"/>
      <c r="H102" s="1354"/>
      <c r="I102" s="1375"/>
      <c r="J102" s="274" t="s">
        <v>160</v>
      </c>
      <c r="K102" s="1377"/>
      <c r="L102" s="1354"/>
      <c r="M102" s="1354"/>
      <c r="N102" s="1356" t="s">
        <v>8</v>
      </c>
      <c r="O102" s="1370"/>
      <c r="P102" s="1322" t="s">
        <v>8</v>
      </c>
      <c r="Q102" s="1366" t="s">
        <v>167</v>
      </c>
      <c r="R102" s="1297" t="s">
        <v>8</v>
      </c>
      <c r="S102" s="1297"/>
    </row>
    <row r="103" spans="1:19" x14ac:dyDescent="0.35">
      <c r="A103" s="1428"/>
      <c r="B103" s="1361"/>
      <c r="C103" s="1363"/>
      <c r="D103" s="1365"/>
      <c r="E103" s="1357"/>
      <c r="F103" s="1355"/>
      <c r="G103" s="1355"/>
      <c r="H103" s="1355"/>
      <c r="I103" s="1376"/>
      <c r="J103" s="274" t="s">
        <v>159</v>
      </c>
      <c r="K103" s="1378"/>
      <c r="L103" s="1355"/>
      <c r="M103" s="1355"/>
      <c r="N103" s="1357"/>
      <c r="O103" s="1371"/>
      <c r="P103" s="1298"/>
      <c r="Q103" s="1367"/>
      <c r="R103" s="1298"/>
      <c r="S103" s="1298"/>
    </row>
    <row r="104" spans="1:19" x14ac:dyDescent="0.35">
      <c r="A104" s="1428"/>
      <c r="B104" s="1125">
        <v>89</v>
      </c>
      <c r="C104" s="23">
        <v>131.4</v>
      </c>
      <c r="D104" s="24">
        <f t="shared" si="5"/>
        <v>1414.37646</v>
      </c>
      <c r="E104" s="272" t="s">
        <v>8</v>
      </c>
      <c r="F104" s="272"/>
      <c r="G104" s="272"/>
      <c r="H104" s="272"/>
      <c r="I104" s="273"/>
      <c r="J104" s="274" t="s">
        <v>159</v>
      </c>
      <c r="K104" s="275"/>
      <c r="L104" s="272"/>
      <c r="M104" s="272"/>
      <c r="N104" s="272" t="s">
        <v>8</v>
      </c>
      <c r="O104" s="276"/>
      <c r="P104" s="349" t="s">
        <v>8</v>
      </c>
      <c r="Q104" s="359" t="s">
        <v>167</v>
      </c>
      <c r="R104" s="349" t="s">
        <v>8</v>
      </c>
      <c r="S104" s="349"/>
    </row>
    <row r="105" spans="1:19" x14ac:dyDescent="0.35">
      <c r="A105" s="1428"/>
      <c r="B105" s="1125">
        <v>90</v>
      </c>
      <c r="C105" s="23">
        <v>77.099999999999994</v>
      </c>
      <c r="D105" s="24">
        <f t="shared" si="5"/>
        <v>829.89668999999992</v>
      </c>
      <c r="E105" s="272" t="s">
        <v>8</v>
      </c>
      <c r="F105" s="272"/>
      <c r="G105" s="272"/>
      <c r="H105" s="272"/>
      <c r="I105" s="273"/>
      <c r="J105" s="274" t="s">
        <v>159</v>
      </c>
      <c r="K105" s="275"/>
      <c r="L105" s="272" t="s">
        <v>8</v>
      </c>
      <c r="M105" s="272"/>
      <c r="N105" s="272"/>
      <c r="O105" s="276"/>
      <c r="P105" s="349"/>
      <c r="Q105" s="359" t="s">
        <v>167</v>
      </c>
      <c r="R105" s="349" t="s">
        <v>8</v>
      </c>
      <c r="S105" s="349"/>
    </row>
    <row r="106" spans="1:19" x14ac:dyDescent="0.35">
      <c r="A106" s="1428"/>
      <c r="B106" s="1125">
        <v>91</v>
      </c>
      <c r="C106" s="23">
        <v>70</v>
      </c>
      <c r="D106" s="24">
        <f>SUM(C106*10.7639)</f>
        <v>753.47299999999996</v>
      </c>
      <c r="E106" s="272" t="s">
        <v>8</v>
      </c>
      <c r="F106" s="272"/>
      <c r="G106" s="272"/>
      <c r="H106" s="272"/>
      <c r="I106" s="273"/>
      <c r="J106" s="274" t="s">
        <v>159</v>
      </c>
      <c r="K106" s="275"/>
      <c r="L106" s="272" t="s">
        <v>8</v>
      </c>
      <c r="M106" s="272"/>
      <c r="N106" s="272"/>
      <c r="O106" s="276"/>
      <c r="P106" s="350"/>
      <c r="Q106" s="359" t="s">
        <v>167</v>
      </c>
      <c r="R106" s="349" t="s">
        <v>8</v>
      </c>
      <c r="S106" s="349"/>
    </row>
    <row r="107" spans="1:19" x14ac:dyDescent="0.35">
      <c r="A107" s="1428"/>
      <c r="B107" s="1125">
        <v>92</v>
      </c>
      <c r="C107" s="23">
        <v>70</v>
      </c>
      <c r="D107" s="24">
        <f t="shared" si="5"/>
        <v>753.47299999999996</v>
      </c>
      <c r="E107" s="272" t="s">
        <v>8</v>
      </c>
      <c r="F107" s="272"/>
      <c r="G107" s="272"/>
      <c r="H107" s="272"/>
      <c r="I107" s="273"/>
      <c r="J107" s="274" t="s">
        <v>159</v>
      </c>
      <c r="K107" s="275"/>
      <c r="L107" s="272" t="s">
        <v>8</v>
      </c>
      <c r="M107" s="272"/>
      <c r="N107" s="272"/>
      <c r="O107" s="276"/>
      <c r="P107" s="351"/>
      <c r="Q107" s="359" t="s">
        <v>167</v>
      </c>
      <c r="R107" s="349" t="s">
        <v>8</v>
      </c>
      <c r="S107" s="349"/>
    </row>
    <row r="108" spans="1:19" x14ac:dyDescent="0.35">
      <c r="A108" s="1428"/>
      <c r="B108" s="1125">
        <v>93</v>
      </c>
      <c r="C108" s="23">
        <v>76.599999999999994</v>
      </c>
      <c r="D108" s="24">
        <f t="shared" si="5"/>
        <v>824.51473999999996</v>
      </c>
      <c r="E108" s="272" t="s">
        <v>8</v>
      </c>
      <c r="F108" s="272"/>
      <c r="G108" s="272"/>
      <c r="H108" s="272"/>
      <c r="I108" s="273"/>
      <c r="J108" s="274" t="s">
        <v>65</v>
      </c>
      <c r="K108" s="275"/>
      <c r="L108" s="272" t="s">
        <v>8</v>
      </c>
      <c r="M108" s="272"/>
      <c r="N108" s="272"/>
      <c r="O108" s="276"/>
      <c r="P108" s="349" t="s">
        <v>8</v>
      </c>
      <c r="Q108" s="358" t="s">
        <v>166</v>
      </c>
      <c r="R108" s="349" t="s">
        <v>8</v>
      </c>
      <c r="S108" s="351"/>
    </row>
    <row r="109" spans="1:19" x14ac:dyDescent="0.35">
      <c r="A109" s="1428"/>
      <c r="B109" s="1360">
        <v>94</v>
      </c>
      <c r="C109" s="1362">
        <v>74.2</v>
      </c>
      <c r="D109" s="1364">
        <f t="shared" si="5"/>
        <v>798.68137999999999</v>
      </c>
      <c r="E109" s="1356" t="s">
        <v>8</v>
      </c>
      <c r="F109" s="1354"/>
      <c r="G109" s="1354"/>
      <c r="H109" s="1354"/>
      <c r="I109" s="1375"/>
      <c r="J109" s="274" t="s">
        <v>64</v>
      </c>
      <c r="K109" s="1377"/>
      <c r="L109" s="1356" t="s">
        <v>8</v>
      </c>
      <c r="M109" s="1356"/>
      <c r="N109" s="1356"/>
      <c r="O109" s="1370"/>
      <c r="P109" s="1297"/>
      <c r="Q109" s="1366" t="s">
        <v>166</v>
      </c>
      <c r="R109" s="1322" t="s">
        <v>8</v>
      </c>
      <c r="S109" s="1297"/>
    </row>
    <row r="110" spans="1:19" x14ac:dyDescent="0.35">
      <c r="A110" s="1428"/>
      <c r="B110" s="1361"/>
      <c r="C110" s="1363"/>
      <c r="D110" s="1365"/>
      <c r="E110" s="1357"/>
      <c r="F110" s="1355"/>
      <c r="G110" s="1355"/>
      <c r="H110" s="1355"/>
      <c r="I110" s="1376"/>
      <c r="J110" s="274" t="s">
        <v>214</v>
      </c>
      <c r="K110" s="1378"/>
      <c r="L110" s="1357"/>
      <c r="M110" s="1357"/>
      <c r="N110" s="1357"/>
      <c r="O110" s="1371"/>
      <c r="P110" s="1298"/>
      <c r="Q110" s="1374"/>
      <c r="R110" s="1322"/>
      <c r="S110" s="1322"/>
    </row>
    <row r="111" spans="1:19" x14ac:dyDescent="0.35">
      <c r="A111" s="1428"/>
      <c r="B111" s="1125">
        <v>95</v>
      </c>
      <c r="C111" s="23">
        <v>80.3</v>
      </c>
      <c r="D111" s="24">
        <f t="shared" si="5"/>
        <v>864.34116999999992</v>
      </c>
      <c r="E111" s="272" t="s">
        <v>8</v>
      </c>
      <c r="F111" s="272"/>
      <c r="G111" s="272"/>
      <c r="H111" s="272"/>
      <c r="I111" s="273"/>
      <c r="J111" s="274" t="s">
        <v>64</v>
      </c>
      <c r="K111" s="275"/>
      <c r="L111" s="272" t="s">
        <v>8</v>
      </c>
      <c r="M111" s="272"/>
      <c r="N111" s="272"/>
      <c r="O111" s="276"/>
      <c r="P111" s="349"/>
      <c r="Q111" s="359" t="s">
        <v>166</v>
      </c>
      <c r="R111" s="349" t="s">
        <v>8</v>
      </c>
      <c r="S111" s="349"/>
    </row>
    <row r="112" spans="1:19" x14ac:dyDescent="0.35">
      <c r="A112" s="1428"/>
      <c r="B112" s="1360">
        <v>96</v>
      </c>
      <c r="C112" s="1362">
        <v>81</v>
      </c>
      <c r="D112" s="1364">
        <f t="shared" si="5"/>
        <v>871.8759</v>
      </c>
      <c r="E112" s="1356" t="s">
        <v>8</v>
      </c>
      <c r="F112" s="1354"/>
      <c r="G112" s="1354"/>
      <c r="H112" s="1354"/>
      <c r="I112" s="1375"/>
      <c r="J112" s="274" t="s">
        <v>63</v>
      </c>
      <c r="K112" s="1377"/>
      <c r="L112" s="1354"/>
      <c r="M112" s="1356" t="s">
        <v>8</v>
      </c>
      <c r="N112" s="1356"/>
      <c r="O112" s="1370"/>
      <c r="P112" s="1297"/>
      <c r="Q112" s="1366" t="s">
        <v>167</v>
      </c>
      <c r="R112" s="1297" t="s">
        <v>8</v>
      </c>
      <c r="S112" s="1297"/>
    </row>
    <row r="113" spans="1:19" x14ac:dyDescent="0.35">
      <c r="A113" s="1428"/>
      <c r="B113" s="1361"/>
      <c r="C113" s="1363"/>
      <c r="D113" s="1365"/>
      <c r="E113" s="1357"/>
      <c r="F113" s="1355"/>
      <c r="G113" s="1355"/>
      <c r="H113" s="1355"/>
      <c r="I113" s="1376"/>
      <c r="J113" s="274" t="s">
        <v>64</v>
      </c>
      <c r="K113" s="1378"/>
      <c r="L113" s="1355"/>
      <c r="M113" s="1357"/>
      <c r="N113" s="1357"/>
      <c r="O113" s="1371"/>
      <c r="P113" s="1298"/>
      <c r="Q113" s="1367"/>
      <c r="R113" s="1298"/>
      <c r="S113" s="1298"/>
    </row>
    <row r="114" spans="1:19" x14ac:dyDescent="0.35">
      <c r="A114" s="1428"/>
      <c r="B114" s="1360">
        <v>97</v>
      </c>
      <c r="C114" s="1362">
        <v>93.4</v>
      </c>
      <c r="D114" s="1364">
        <f t="shared" si="5"/>
        <v>1005.34826</v>
      </c>
      <c r="E114" s="1356" t="s">
        <v>8</v>
      </c>
      <c r="F114" s="1354"/>
      <c r="G114" s="1354"/>
      <c r="H114" s="1354"/>
      <c r="I114" s="1375"/>
      <c r="J114" s="274" t="s">
        <v>63</v>
      </c>
      <c r="K114" s="1377"/>
      <c r="L114" s="1354"/>
      <c r="M114" s="1356" t="s">
        <v>8</v>
      </c>
      <c r="N114" s="1356"/>
      <c r="O114" s="1370"/>
      <c r="P114" s="1297"/>
      <c r="Q114" s="1366" t="s">
        <v>167</v>
      </c>
      <c r="R114" s="1297" t="s">
        <v>8</v>
      </c>
      <c r="S114" s="1297"/>
    </row>
    <row r="115" spans="1:19" x14ac:dyDescent="0.35">
      <c r="A115" s="1428"/>
      <c r="B115" s="1493"/>
      <c r="C115" s="1386"/>
      <c r="D115" s="1387"/>
      <c r="E115" s="1384"/>
      <c r="F115" s="1383"/>
      <c r="G115" s="1383"/>
      <c r="H115" s="1383"/>
      <c r="I115" s="1388"/>
      <c r="J115" s="274" t="s">
        <v>64</v>
      </c>
      <c r="K115" s="1389"/>
      <c r="L115" s="1383"/>
      <c r="M115" s="1384"/>
      <c r="N115" s="1384"/>
      <c r="O115" s="1385"/>
      <c r="P115" s="1322"/>
      <c r="Q115" s="1374"/>
      <c r="R115" s="1322"/>
      <c r="S115" s="1322"/>
    </row>
    <row r="116" spans="1:19" x14ac:dyDescent="0.35">
      <c r="A116" s="1428"/>
      <c r="B116" s="1361"/>
      <c r="C116" s="1363"/>
      <c r="D116" s="1365"/>
      <c r="E116" s="1357"/>
      <c r="F116" s="1355"/>
      <c r="G116" s="1355"/>
      <c r="H116" s="1355"/>
      <c r="I116" s="1376"/>
      <c r="J116" s="274" t="s">
        <v>214</v>
      </c>
      <c r="K116" s="1378"/>
      <c r="L116" s="1355"/>
      <c r="M116" s="1357"/>
      <c r="N116" s="1357"/>
      <c r="O116" s="1371"/>
      <c r="P116" s="1298"/>
      <c r="Q116" s="1367"/>
      <c r="R116" s="1298"/>
      <c r="S116" s="1298"/>
    </row>
    <row r="117" spans="1:19" x14ac:dyDescent="0.35">
      <c r="A117" s="1428"/>
      <c r="B117" s="1360">
        <v>98</v>
      </c>
      <c r="C117" s="1362">
        <v>179.6</v>
      </c>
      <c r="D117" s="1364">
        <f t="shared" si="5"/>
        <v>1933.1964399999999</v>
      </c>
      <c r="E117" s="1356" t="s">
        <v>8</v>
      </c>
      <c r="F117" s="1354"/>
      <c r="G117" s="1354"/>
      <c r="H117" s="1354"/>
      <c r="I117" s="1375"/>
      <c r="J117" s="274" t="s">
        <v>160</v>
      </c>
      <c r="K117" s="1377"/>
      <c r="L117" s="1354"/>
      <c r="M117" s="1354"/>
      <c r="N117" s="1356" t="s">
        <v>8</v>
      </c>
      <c r="O117" s="1370"/>
      <c r="P117" s="1297" t="s">
        <v>8</v>
      </c>
      <c r="Q117" s="1366" t="s">
        <v>168</v>
      </c>
      <c r="R117" s="1297" t="s">
        <v>8</v>
      </c>
      <c r="S117" s="1297"/>
    </row>
    <row r="118" spans="1:19" x14ac:dyDescent="0.35">
      <c r="A118" s="1428"/>
      <c r="B118" s="1361"/>
      <c r="C118" s="1363"/>
      <c r="D118" s="1365"/>
      <c r="E118" s="1357"/>
      <c r="F118" s="1355"/>
      <c r="G118" s="1355"/>
      <c r="H118" s="1355"/>
      <c r="I118" s="1376"/>
      <c r="J118" s="274" t="s">
        <v>159</v>
      </c>
      <c r="K118" s="1378"/>
      <c r="L118" s="1355"/>
      <c r="M118" s="1355"/>
      <c r="N118" s="1357"/>
      <c r="O118" s="1371"/>
      <c r="P118" s="1298"/>
      <c r="Q118" s="1367"/>
      <c r="R118" s="1298"/>
      <c r="S118" s="1298"/>
    </row>
    <row r="119" spans="1:19" x14ac:dyDescent="0.35">
      <c r="A119" s="1428"/>
      <c r="B119" s="1360">
        <v>99</v>
      </c>
      <c r="C119" s="1362">
        <v>83.1</v>
      </c>
      <c r="D119" s="1364">
        <f t="shared" si="5"/>
        <v>894.4800899999999</v>
      </c>
      <c r="E119" s="1356" t="s">
        <v>8</v>
      </c>
      <c r="F119" s="1354"/>
      <c r="G119" s="1354"/>
      <c r="H119" s="1354"/>
      <c r="I119" s="1375"/>
      <c r="J119" s="274" t="s">
        <v>63</v>
      </c>
      <c r="K119" s="1377"/>
      <c r="L119" s="1354"/>
      <c r="M119" s="1356" t="s">
        <v>8</v>
      </c>
      <c r="N119" s="1356"/>
      <c r="O119" s="1370"/>
      <c r="P119" s="1297"/>
      <c r="Q119" s="1366" t="s">
        <v>167</v>
      </c>
      <c r="R119" s="1297" t="s">
        <v>8</v>
      </c>
      <c r="S119" s="1297"/>
    </row>
    <row r="120" spans="1:19" x14ac:dyDescent="0.35">
      <c r="A120" s="1428"/>
      <c r="B120" s="1361"/>
      <c r="C120" s="1363"/>
      <c r="D120" s="1365"/>
      <c r="E120" s="1357"/>
      <c r="F120" s="1355"/>
      <c r="G120" s="1355"/>
      <c r="H120" s="1355"/>
      <c r="I120" s="1376"/>
      <c r="J120" s="274" t="s">
        <v>64</v>
      </c>
      <c r="K120" s="1378"/>
      <c r="L120" s="1383"/>
      <c r="M120" s="1357"/>
      <c r="N120" s="1357"/>
      <c r="O120" s="1371"/>
      <c r="P120" s="1298"/>
      <c r="Q120" s="1367"/>
      <c r="R120" s="1298"/>
      <c r="S120" s="1298"/>
    </row>
    <row r="121" spans="1:19" x14ac:dyDescent="0.35">
      <c r="A121" s="1428"/>
      <c r="B121" s="1125">
        <v>100</v>
      </c>
      <c r="C121" s="23">
        <v>95</v>
      </c>
      <c r="D121" s="24">
        <f t="shared" si="5"/>
        <v>1022.5704999999999</v>
      </c>
      <c r="E121" s="272" t="s">
        <v>8</v>
      </c>
      <c r="F121" s="272"/>
      <c r="G121" s="272"/>
      <c r="H121" s="272"/>
      <c r="I121" s="273"/>
      <c r="J121" s="274" t="s">
        <v>159</v>
      </c>
      <c r="K121" s="275"/>
      <c r="L121" s="429" t="s">
        <v>8</v>
      </c>
      <c r="M121" s="272"/>
      <c r="N121" s="272"/>
      <c r="O121" s="276"/>
      <c r="P121" s="349"/>
      <c r="Q121" s="359" t="s">
        <v>167</v>
      </c>
      <c r="R121" s="349" t="s">
        <v>8</v>
      </c>
      <c r="S121" s="349"/>
    </row>
    <row r="122" spans="1:19" x14ac:dyDescent="0.35">
      <c r="A122" s="1428"/>
      <c r="B122" s="1125">
        <v>101</v>
      </c>
      <c r="C122" s="23">
        <v>95</v>
      </c>
      <c r="D122" s="24">
        <f t="shared" si="5"/>
        <v>1022.5704999999999</v>
      </c>
      <c r="E122" s="272" t="s">
        <v>8</v>
      </c>
      <c r="F122" s="272"/>
      <c r="G122" s="272"/>
      <c r="H122" s="272"/>
      <c r="I122" s="273"/>
      <c r="J122" s="274" t="s">
        <v>159</v>
      </c>
      <c r="K122" s="275"/>
      <c r="L122" s="429" t="s">
        <v>8</v>
      </c>
      <c r="M122" s="272"/>
      <c r="N122" s="272"/>
      <c r="O122" s="276"/>
      <c r="P122" s="349"/>
      <c r="Q122" s="359" t="s">
        <v>167</v>
      </c>
      <c r="R122" s="349" t="s">
        <v>8</v>
      </c>
      <c r="S122" s="349"/>
    </row>
    <row r="123" spans="1:19" x14ac:dyDescent="0.35">
      <c r="A123" s="1428"/>
      <c r="B123" s="1360">
        <v>102</v>
      </c>
      <c r="C123" s="1362">
        <v>83.1</v>
      </c>
      <c r="D123" s="1364">
        <f t="shared" si="5"/>
        <v>894.4800899999999</v>
      </c>
      <c r="E123" s="1356" t="s">
        <v>8</v>
      </c>
      <c r="F123" s="1356"/>
      <c r="G123" s="1354"/>
      <c r="H123" s="1354"/>
      <c r="I123" s="1375"/>
      <c r="J123" s="274" t="s">
        <v>63</v>
      </c>
      <c r="K123" s="1377"/>
      <c r="L123" s="1354"/>
      <c r="M123" s="1356" t="s">
        <v>8</v>
      </c>
      <c r="N123" s="1356"/>
      <c r="O123" s="1370"/>
      <c r="P123" s="1297"/>
      <c r="Q123" s="1366" t="s">
        <v>167</v>
      </c>
      <c r="R123" s="1297" t="s">
        <v>8</v>
      </c>
      <c r="S123" s="1297"/>
    </row>
    <row r="124" spans="1:19" x14ac:dyDescent="0.35">
      <c r="A124" s="1428"/>
      <c r="B124" s="1361"/>
      <c r="C124" s="1363"/>
      <c r="D124" s="1365"/>
      <c r="E124" s="1357"/>
      <c r="F124" s="1357"/>
      <c r="G124" s="1355"/>
      <c r="H124" s="1355"/>
      <c r="I124" s="1376"/>
      <c r="J124" s="274" t="s">
        <v>64</v>
      </c>
      <c r="K124" s="1378"/>
      <c r="L124" s="1355"/>
      <c r="M124" s="1357"/>
      <c r="N124" s="1357"/>
      <c r="O124" s="1371"/>
      <c r="P124" s="1298"/>
      <c r="Q124" s="1367"/>
      <c r="R124" s="1298"/>
      <c r="S124" s="1298"/>
    </row>
    <row r="125" spans="1:19" x14ac:dyDescent="0.35">
      <c r="A125" s="1428"/>
      <c r="B125" s="1125">
        <v>103</v>
      </c>
      <c r="C125" s="23">
        <v>103.6</v>
      </c>
      <c r="D125" s="24">
        <f t="shared" si="5"/>
        <v>1115.14004</v>
      </c>
      <c r="E125" s="272" t="s">
        <v>8</v>
      </c>
      <c r="F125" s="272"/>
      <c r="G125" s="272"/>
      <c r="H125" s="272"/>
      <c r="I125" s="273"/>
      <c r="J125" s="274" t="s">
        <v>63</v>
      </c>
      <c r="K125" s="275"/>
      <c r="L125" s="272"/>
      <c r="M125" s="272" t="s">
        <v>8</v>
      </c>
      <c r="N125" s="272"/>
      <c r="O125" s="276"/>
      <c r="P125" s="349"/>
      <c r="Q125" s="359" t="s">
        <v>167</v>
      </c>
      <c r="R125" s="349" t="s">
        <v>8</v>
      </c>
      <c r="S125" s="349"/>
    </row>
    <row r="126" spans="1:19" x14ac:dyDescent="0.35">
      <c r="A126" s="1428"/>
      <c r="B126" s="1125">
        <v>104</v>
      </c>
      <c r="C126" s="23">
        <v>94.4</v>
      </c>
      <c r="D126" s="24">
        <f t="shared" si="5"/>
        <v>1016.11216</v>
      </c>
      <c r="E126" s="272" t="s">
        <v>8</v>
      </c>
      <c r="F126" s="272"/>
      <c r="G126" s="272"/>
      <c r="H126" s="272"/>
      <c r="I126" s="273"/>
      <c r="J126" s="274" t="s">
        <v>65</v>
      </c>
      <c r="K126" s="275"/>
      <c r="L126" s="272" t="s">
        <v>8</v>
      </c>
      <c r="M126" s="272"/>
      <c r="N126" s="272"/>
      <c r="O126" s="276"/>
      <c r="P126" s="351"/>
      <c r="Q126" s="358" t="s">
        <v>166</v>
      </c>
      <c r="R126" s="351" t="s">
        <v>8</v>
      </c>
      <c r="S126" s="351"/>
    </row>
    <row r="127" spans="1:19" x14ac:dyDescent="0.35">
      <c r="A127" s="1428"/>
      <c r="B127" s="1360">
        <v>105</v>
      </c>
      <c r="C127" s="1362">
        <v>120.7</v>
      </c>
      <c r="D127" s="1364">
        <f t="shared" si="5"/>
        <v>1299.20273</v>
      </c>
      <c r="E127" s="1356" t="s">
        <v>8</v>
      </c>
      <c r="F127" s="1354"/>
      <c r="G127" s="1354"/>
      <c r="H127" s="1354"/>
      <c r="I127" s="1375"/>
      <c r="J127" s="274" t="s">
        <v>63</v>
      </c>
      <c r="K127" s="1377"/>
      <c r="L127" s="1354"/>
      <c r="M127" s="1354"/>
      <c r="N127" s="1356" t="s">
        <v>8</v>
      </c>
      <c r="O127" s="1370"/>
      <c r="P127" s="1297"/>
      <c r="Q127" s="1366" t="s">
        <v>167</v>
      </c>
      <c r="R127" s="1297" t="s">
        <v>8</v>
      </c>
      <c r="S127" s="1297"/>
    </row>
    <row r="128" spans="1:19" x14ac:dyDescent="0.35">
      <c r="A128" s="1428"/>
      <c r="B128" s="1361"/>
      <c r="C128" s="1363"/>
      <c r="D128" s="1365"/>
      <c r="E128" s="1357"/>
      <c r="F128" s="1355"/>
      <c r="G128" s="1355"/>
      <c r="H128" s="1355"/>
      <c r="I128" s="1376"/>
      <c r="J128" s="274" t="s">
        <v>159</v>
      </c>
      <c r="K128" s="1378"/>
      <c r="L128" s="1355"/>
      <c r="M128" s="1355"/>
      <c r="N128" s="1357"/>
      <c r="O128" s="1371"/>
      <c r="P128" s="1322"/>
      <c r="Q128" s="1367"/>
      <c r="R128" s="1298"/>
      <c r="S128" s="1298"/>
    </row>
    <row r="129" spans="1:19" x14ac:dyDescent="0.35">
      <c r="A129" s="1428"/>
      <c r="B129" s="1125">
        <v>106</v>
      </c>
      <c r="C129" s="23">
        <v>89.4</v>
      </c>
      <c r="D129" s="24">
        <f t="shared" si="5"/>
        <v>962.29266000000007</v>
      </c>
      <c r="E129" s="272" t="s">
        <v>8</v>
      </c>
      <c r="F129" s="272"/>
      <c r="G129" s="272"/>
      <c r="H129" s="272"/>
      <c r="I129" s="273"/>
      <c r="J129" s="274" t="s">
        <v>63</v>
      </c>
      <c r="K129" s="275"/>
      <c r="L129" s="272"/>
      <c r="M129" s="272" t="s">
        <v>8</v>
      </c>
      <c r="N129" s="272"/>
      <c r="O129" s="276"/>
      <c r="P129" s="351"/>
      <c r="Q129" s="359" t="s">
        <v>167</v>
      </c>
      <c r="R129" s="349" t="s">
        <v>8</v>
      </c>
      <c r="S129" s="349"/>
    </row>
    <row r="130" spans="1:19" x14ac:dyDescent="0.35">
      <c r="A130" s="1428"/>
      <c r="B130" s="1125">
        <v>107</v>
      </c>
      <c r="C130" s="23">
        <v>82.5</v>
      </c>
      <c r="D130" s="24">
        <f t="shared" si="5"/>
        <v>888.02175</v>
      </c>
      <c r="E130" s="272"/>
      <c r="F130" s="272" t="s">
        <v>8</v>
      </c>
      <c r="G130" s="272"/>
      <c r="H130" s="272"/>
      <c r="I130" s="273"/>
      <c r="J130" s="274" t="s">
        <v>159</v>
      </c>
      <c r="K130" s="275"/>
      <c r="L130" s="272" t="s">
        <v>8</v>
      </c>
      <c r="M130" s="272"/>
      <c r="N130" s="272"/>
      <c r="O130" s="276"/>
      <c r="P130" s="349"/>
      <c r="Q130" s="358" t="s">
        <v>166</v>
      </c>
      <c r="R130" s="351" t="s">
        <v>8</v>
      </c>
      <c r="S130" s="351"/>
    </row>
    <row r="131" spans="1:19" x14ac:dyDescent="0.35">
      <c r="A131" s="1428"/>
      <c r="B131" s="1125">
        <v>108</v>
      </c>
      <c r="C131" s="23">
        <v>108</v>
      </c>
      <c r="D131" s="24">
        <f t="shared" si="5"/>
        <v>1162.5011999999999</v>
      </c>
      <c r="E131" s="272" t="s">
        <v>8</v>
      </c>
      <c r="F131" s="272"/>
      <c r="G131" s="272"/>
      <c r="H131" s="272"/>
      <c r="I131" s="273"/>
      <c r="J131" s="274" t="s">
        <v>159</v>
      </c>
      <c r="K131" s="275"/>
      <c r="L131" s="272"/>
      <c r="M131" s="272" t="s">
        <v>8</v>
      </c>
      <c r="N131" s="272"/>
      <c r="O131" s="276"/>
      <c r="P131" s="350" t="s">
        <v>8</v>
      </c>
      <c r="Q131" s="359" t="s">
        <v>167</v>
      </c>
      <c r="R131" s="349" t="s">
        <v>8</v>
      </c>
      <c r="S131" s="349"/>
    </row>
    <row r="132" spans="1:19" x14ac:dyDescent="0.35">
      <c r="A132" s="1428"/>
      <c r="B132" s="1125">
        <v>109</v>
      </c>
      <c r="C132" s="23">
        <v>108</v>
      </c>
      <c r="D132" s="24">
        <f t="shared" si="5"/>
        <v>1162.5011999999999</v>
      </c>
      <c r="E132" s="272" t="s">
        <v>8</v>
      </c>
      <c r="F132" s="272"/>
      <c r="G132" s="272"/>
      <c r="H132" s="272"/>
      <c r="I132" s="273"/>
      <c r="J132" s="274" t="s">
        <v>159</v>
      </c>
      <c r="K132" s="275"/>
      <c r="L132" s="272"/>
      <c r="M132" s="272" t="s">
        <v>8</v>
      </c>
      <c r="N132" s="272"/>
      <c r="O132" s="276"/>
      <c r="P132" s="350"/>
      <c r="Q132" s="359" t="s">
        <v>167</v>
      </c>
      <c r="R132" s="349" t="s">
        <v>8</v>
      </c>
      <c r="S132" s="349"/>
    </row>
    <row r="133" spans="1:19" x14ac:dyDescent="0.35">
      <c r="A133" s="1428"/>
      <c r="B133" s="1125">
        <v>110</v>
      </c>
      <c r="C133" s="23">
        <v>72.900000000000006</v>
      </c>
      <c r="D133" s="24">
        <f t="shared" si="5"/>
        <v>784.68831</v>
      </c>
      <c r="E133" s="272"/>
      <c r="F133" s="272"/>
      <c r="G133" s="272" t="s">
        <v>8</v>
      </c>
      <c r="H133" s="272"/>
      <c r="I133" s="273"/>
      <c r="J133" s="274" t="s">
        <v>159</v>
      </c>
      <c r="K133" s="275"/>
      <c r="L133" s="272" t="s">
        <v>8</v>
      </c>
      <c r="M133" s="272"/>
      <c r="N133" s="272"/>
      <c r="O133" s="276"/>
      <c r="P133" s="351"/>
      <c r="Q133" s="358" t="s">
        <v>166</v>
      </c>
      <c r="R133" s="351" t="s">
        <v>8</v>
      </c>
      <c r="S133" s="351"/>
    </row>
    <row r="134" spans="1:19" x14ac:dyDescent="0.35">
      <c r="A134" s="1428"/>
      <c r="B134" s="1125">
        <v>111</v>
      </c>
      <c r="C134" s="23">
        <v>72.900000000000006</v>
      </c>
      <c r="D134" s="24">
        <f t="shared" si="5"/>
        <v>784.68831</v>
      </c>
      <c r="E134" s="272"/>
      <c r="F134" s="272"/>
      <c r="G134" s="272" t="s">
        <v>8</v>
      </c>
      <c r="H134" s="272"/>
      <c r="I134" s="273"/>
      <c r="J134" s="274" t="s">
        <v>63</v>
      </c>
      <c r="K134" s="275"/>
      <c r="L134" s="272" t="s">
        <v>8</v>
      </c>
      <c r="M134" s="272"/>
      <c r="N134" s="272"/>
      <c r="O134" s="276"/>
      <c r="P134" s="349"/>
      <c r="Q134" s="1110" t="s">
        <v>166</v>
      </c>
      <c r="R134" s="352" t="s">
        <v>8</v>
      </c>
      <c r="S134" s="349"/>
    </row>
    <row r="135" spans="1:19" x14ac:dyDescent="0.35">
      <c r="A135" s="1428"/>
      <c r="B135" s="1125">
        <v>112</v>
      </c>
      <c r="C135" s="23">
        <v>100.4</v>
      </c>
      <c r="D135" s="24">
        <f t="shared" si="5"/>
        <v>1080.6955600000001</v>
      </c>
      <c r="E135" s="272"/>
      <c r="F135" s="272"/>
      <c r="G135" s="272" t="s">
        <v>8</v>
      </c>
      <c r="H135" s="272"/>
      <c r="I135" s="273"/>
      <c r="J135" s="274" t="s">
        <v>63</v>
      </c>
      <c r="K135" s="275"/>
      <c r="L135" s="272"/>
      <c r="M135" s="272" t="s">
        <v>8</v>
      </c>
      <c r="N135" s="272"/>
      <c r="O135" s="276"/>
      <c r="P135" s="349" t="s">
        <v>8</v>
      </c>
      <c r="Q135" s="1110" t="s">
        <v>166</v>
      </c>
      <c r="R135" s="352" t="s">
        <v>8</v>
      </c>
      <c r="S135" s="349"/>
    </row>
    <row r="136" spans="1:19" x14ac:dyDescent="0.35">
      <c r="A136" s="1428"/>
      <c r="B136" s="1360">
        <v>113</v>
      </c>
      <c r="C136" s="1362">
        <v>79.2</v>
      </c>
      <c r="D136" s="1364">
        <f t="shared" si="5"/>
        <v>852.50088000000005</v>
      </c>
      <c r="E136" s="1356"/>
      <c r="F136" s="1356"/>
      <c r="G136" s="1356" t="s">
        <v>8</v>
      </c>
      <c r="H136" s="1354"/>
      <c r="I136" s="1375"/>
      <c r="J136" s="274" t="s">
        <v>66</v>
      </c>
      <c r="K136" s="1377"/>
      <c r="L136" s="1356" t="s">
        <v>8</v>
      </c>
      <c r="M136" s="1354"/>
      <c r="N136" s="1354"/>
      <c r="O136" s="1394"/>
      <c r="P136" s="1320"/>
      <c r="Q136" s="1366" t="s">
        <v>166</v>
      </c>
      <c r="R136" s="1297" t="s">
        <v>8</v>
      </c>
      <c r="S136" s="1322"/>
    </row>
    <row r="137" spans="1:19" x14ac:dyDescent="0.35">
      <c r="A137" s="1428"/>
      <c r="B137" s="1361"/>
      <c r="C137" s="1363"/>
      <c r="D137" s="1365"/>
      <c r="E137" s="1357"/>
      <c r="F137" s="1357"/>
      <c r="G137" s="1357"/>
      <c r="H137" s="1355"/>
      <c r="I137" s="1376"/>
      <c r="J137" s="274" t="s">
        <v>66</v>
      </c>
      <c r="K137" s="1378"/>
      <c r="L137" s="1357"/>
      <c r="M137" s="1355"/>
      <c r="N137" s="1355"/>
      <c r="O137" s="1395"/>
      <c r="P137" s="1321"/>
      <c r="Q137" s="1374"/>
      <c r="R137" s="1322"/>
      <c r="S137" s="1322"/>
    </row>
    <row r="138" spans="1:19" x14ac:dyDescent="0.35">
      <c r="A138" s="1428"/>
      <c r="B138" s="1125">
        <v>114</v>
      </c>
      <c r="C138" s="23">
        <v>100.4</v>
      </c>
      <c r="D138" s="24">
        <f t="shared" si="5"/>
        <v>1080.6955600000001</v>
      </c>
      <c r="E138" s="272"/>
      <c r="F138" s="272"/>
      <c r="G138" s="272" t="s">
        <v>8</v>
      </c>
      <c r="H138" s="272"/>
      <c r="I138" s="273"/>
      <c r="J138" s="274" t="s">
        <v>64</v>
      </c>
      <c r="K138" s="275"/>
      <c r="L138" s="272"/>
      <c r="M138" s="272" t="s">
        <v>8</v>
      </c>
      <c r="N138" s="272"/>
      <c r="O138" s="276"/>
      <c r="P138" s="349"/>
      <c r="Q138" s="1110" t="s">
        <v>166</v>
      </c>
      <c r="R138" s="352" t="s">
        <v>8</v>
      </c>
      <c r="S138" s="349"/>
    </row>
    <row r="139" spans="1:19" x14ac:dyDescent="0.35">
      <c r="A139" s="1429"/>
      <c r="B139" s="1125">
        <v>115</v>
      </c>
      <c r="C139" s="23">
        <v>79</v>
      </c>
      <c r="D139" s="24">
        <f t="shared" si="5"/>
        <v>850.34809999999993</v>
      </c>
      <c r="E139" s="272"/>
      <c r="F139" s="272"/>
      <c r="G139" s="272" t="s">
        <v>8</v>
      </c>
      <c r="H139" s="272"/>
      <c r="I139" s="273"/>
      <c r="J139" s="274" t="s">
        <v>64</v>
      </c>
      <c r="K139" s="275"/>
      <c r="L139" s="272" t="s">
        <v>8</v>
      </c>
      <c r="M139" s="272"/>
      <c r="N139" s="272"/>
      <c r="O139" s="276"/>
      <c r="P139" s="349"/>
      <c r="Q139" s="1110" t="s">
        <v>166</v>
      </c>
      <c r="R139" s="349" t="s">
        <v>8</v>
      </c>
      <c r="S139" s="351"/>
    </row>
    <row r="140" spans="1:19" x14ac:dyDescent="0.35">
      <c r="A140" s="1433" t="s">
        <v>21</v>
      </c>
      <c r="B140" s="1125">
        <v>116</v>
      </c>
      <c r="C140" s="23">
        <v>87.7</v>
      </c>
      <c r="D140" s="24">
        <f t="shared" si="5"/>
        <v>943.99402999999995</v>
      </c>
      <c r="E140" s="272"/>
      <c r="F140" s="272" t="s">
        <v>8</v>
      </c>
      <c r="G140" s="272"/>
      <c r="H140" s="272"/>
      <c r="I140" s="273"/>
      <c r="J140" s="274" t="s">
        <v>63</v>
      </c>
      <c r="K140" s="275"/>
      <c r="L140" s="272" t="s">
        <v>8</v>
      </c>
      <c r="M140" s="272"/>
      <c r="N140" s="272"/>
      <c r="O140" s="276"/>
      <c r="P140" s="349"/>
      <c r="Q140" s="359" t="s">
        <v>166</v>
      </c>
      <c r="R140" s="349" t="s">
        <v>8</v>
      </c>
      <c r="S140" s="349"/>
    </row>
    <row r="141" spans="1:19" x14ac:dyDescent="0.35">
      <c r="A141" s="1434"/>
      <c r="B141" s="1360">
        <v>117</v>
      </c>
      <c r="C141" s="1362">
        <v>83.1</v>
      </c>
      <c r="D141" s="1364">
        <f>SUM(C141*10.7639)</f>
        <v>894.4800899999999</v>
      </c>
      <c r="E141" s="1356" t="s">
        <v>8</v>
      </c>
      <c r="F141" s="1356"/>
      <c r="G141" s="1354"/>
      <c r="H141" s="1354"/>
      <c r="I141" s="1375"/>
      <c r="J141" s="274" t="s">
        <v>63</v>
      </c>
      <c r="K141" s="1377"/>
      <c r="L141" s="1354"/>
      <c r="M141" s="1356" t="s">
        <v>8</v>
      </c>
      <c r="N141" s="1354"/>
      <c r="O141" s="1394"/>
      <c r="P141" s="1320"/>
      <c r="Q141" s="1366" t="s">
        <v>167</v>
      </c>
      <c r="R141" s="1322" t="s">
        <v>8</v>
      </c>
      <c r="S141" s="1297"/>
    </row>
    <row r="142" spans="1:19" x14ac:dyDescent="0.35">
      <c r="A142" s="1434"/>
      <c r="B142" s="1361"/>
      <c r="C142" s="1363"/>
      <c r="D142" s="1365"/>
      <c r="E142" s="1357"/>
      <c r="F142" s="1357"/>
      <c r="G142" s="1355"/>
      <c r="H142" s="1355"/>
      <c r="I142" s="1376"/>
      <c r="J142" s="274" t="s">
        <v>64</v>
      </c>
      <c r="K142" s="1378"/>
      <c r="L142" s="1355"/>
      <c r="M142" s="1357"/>
      <c r="N142" s="1355"/>
      <c r="O142" s="1395"/>
      <c r="P142" s="1321"/>
      <c r="Q142" s="1367"/>
      <c r="R142" s="1322"/>
      <c r="S142" s="1298"/>
    </row>
    <row r="143" spans="1:19" x14ac:dyDescent="0.35">
      <c r="A143" s="1434"/>
      <c r="B143" s="1125">
        <v>118</v>
      </c>
      <c r="C143" s="23">
        <v>95</v>
      </c>
      <c r="D143" s="24">
        <f t="shared" si="5"/>
        <v>1022.5704999999999</v>
      </c>
      <c r="E143" s="272" t="s">
        <v>8</v>
      </c>
      <c r="F143" s="272"/>
      <c r="G143" s="272"/>
      <c r="H143" s="272"/>
      <c r="I143" s="273"/>
      <c r="J143" s="274" t="s">
        <v>65</v>
      </c>
      <c r="K143" s="275"/>
      <c r="L143" s="272" t="s">
        <v>8</v>
      </c>
      <c r="M143" s="272"/>
      <c r="N143" s="272"/>
      <c r="O143" s="276"/>
      <c r="P143" s="349"/>
      <c r="Q143" s="359" t="s">
        <v>167</v>
      </c>
      <c r="R143" s="352" t="s">
        <v>8</v>
      </c>
      <c r="S143" s="349"/>
    </row>
    <row r="144" spans="1:19" x14ac:dyDescent="0.35">
      <c r="A144" s="1434"/>
      <c r="B144" s="1125">
        <v>119</v>
      </c>
      <c r="C144" s="23">
        <v>95</v>
      </c>
      <c r="D144" s="24">
        <f t="shared" si="5"/>
        <v>1022.5704999999999</v>
      </c>
      <c r="E144" s="272" t="s">
        <v>8</v>
      </c>
      <c r="F144" s="272"/>
      <c r="G144" s="272"/>
      <c r="H144" s="272"/>
      <c r="I144" s="273"/>
      <c r="J144" s="274" t="s">
        <v>65</v>
      </c>
      <c r="K144" s="275"/>
      <c r="L144" s="272" t="s">
        <v>8</v>
      </c>
      <c r="M144" s="272"/>
      <c r="N144" s="272"/>
      <c r="O144" s="276"/>
      <c r="P144" s="351"/>
      <c r="Q144" s="359" t="s">
        <v>167</v>
      </c>
      <c r="R144" s="352" t="s">
        <v>8</v>
      </c>
      <c r="S144" s="349"/>
    </row>
    <row r="145" spans="1:19" x14ac:dyDescent="0.35">
      <c r="A145" s="1434"/>
      <c r="B145" s="1360">
        <v>120</v>
      </c>
      <c r="C145" s="1362">
        <v>83.1</v>
      </c>
      <c r="D145" s="1364">
        <f t="shared" si="5"/>
        <v>894.4800899999999</v>
      </c>
      <c r="E145" s="1356" t="s">
        <v>8</v>
      </c>
      <c r="F145" s="1354"/>
      <c r="G145" s="1354"/>
      <c r="H145" s="1354"/>
      <c r="I145" s="1375"/>
      <c r="J145" s="448" t="s">
        <v>63</v>
      </c>
      <c r="K145" s="1377"/>
      <c r="L145" s="1354"/>
      <c r="M145" s="1356" t="s">
        <v>8</v>
      </c>
      <c r="N145" s="1356"/>
      <c r="O145" s="1370"/>
      <c r="P145" s="1297"/>
      <c r="Q145" s="1366" t="s">
        <v>167</v>
      </c>
      <c r="R145" s="1297" t="s">
        <v>8</v>
      </c>
      <c r="S145" s="1297"/>
    </row>
    <row r="146" spans="1:19" x14ac:dyDescent="0.35">
      <c r="A146" s="1434"/>
      <c r="B146" s="1361"/>
      <c r="C146" s="1363"/>
      <c r="D146" s="1365"/>
      <c r="E146" s="1357"/>
      <c r="F146" s="1355"/>
      <c r="G146" s="1355"/>
      <c r="H146" s="1355"/>
      <c r="I146" s="1376"/>
      <c r="J146" s="274" t="s">
        <v>64</v>
      </c>
      <c r="K146" s="1378"/>
      <c r="L146" s="1355"/>
      <c r="M146" s="1357"/>
      <c r="N146" s="1357"/>
      <c r="O146" s="1371"/>
      <c r="P146" s="1298"/>
      <c r="Q146" s="1367"/>
      <c r="R146" s="1322"/>
      <c r="S146" s="1298"/>
    </row>
    <row r="147" spans="1:19" x14ac:dyDescent="0.35">
      <c r="A147" s="1434"/>
      <c r="B147" s="1125">
        <v>121</v>
      </c>
      <c r="C147" s="23">
        <v>77.5</v>
      </c>
      <c r="D147" s="24">
        <f t="shared" si="5"/>
        <v>834.20224999999994</v>
      </c>
      <c r="E147" s="272" t="s">
        <v>8</v>
      </c>
      <c r="F147" s="272"/>
      <c r="G147" s="272"/>
      <c r="H147" s="272"/>
      <c r="I147" s="273"/>
      <c r="J147" s="274" t="s">
        <v>65</v>
      </c>
      <c r="K147" s="275"/>
      <c r="L147" s="272" t="s">
        <v>8</v>
      </c>
      <c r="M147" s="272"/>
      <c r="N147" s="272"/>
      <c r="O147" s="276"/>
      <c r="P147" s="349"/>
      <c r="Q147" s="359" t="s">
        <v>167</v>
      </c>
      <c r="R147" s="352" t="s">
        <v>8</v>
      </c>
      <c r="S147" s="349"/>
    </row>
    <row r="148" spans="1:19" x14ac:dyDescent="0.35">
      <c r="A148" s="1434"/>
      <c r="B148" s="1125">
        <v>122</v>
      </c>
      <c r="C148" s="23">
        <v>77.5</v>
      </c>
      <c r="D148" s="24">
        <f t="shared" si="5"/>
        <v>834.20224999999994</v>
      </c>
      <c r="E148" s="272" t="s">
        <v>8</v>
      </c>
      <c r="F148" s="272"/>
      <c r="G148" s="272"/>
      <c r="H148" s="272"/>
      <c r="I148" s="273"/>
      <c r="J148" s="274" t="s">
        <v>65</v>
      </c>
      <c r="K148" s="275"/>
      <c r="L148" s="272" t="s">
        <v>8</v>
      </c>
      <c r="M148" s="272"/>
      <c r="N148" s="272"/>
      <c r="O148" s="276"/>
      <c r="P148" s="349"/>
      <c r="Q148" s="359" t="s">
        <v>167</v>
      </c>
      <c r="R148" s="349" t="s">
        <v>8</v>
      </c>
      <c r="S148" s="349"/>
    </row>
    <row r="149" spans="1:19" x14ac:dyDescent="0.35">
      <c r="A149" s="1434"/>
      <c r="B149" s="1125">
        <v>123</v>
      </c>
      <c r="C149" s="23">
        <v>77.5</v>
      </c>
      <c r="D149" s="24">
        <f t="shared" si="5"/>
        <v>834.20224999999994</v>
      </c>
      <c r="E149" s="272" t="s">
        <v>8</v>
      </c>
      <c r="F149" s="272"/>
      <c r="G149" s="272"/>
      <c r="H149" s="272"/>
      <c r="I149" s="273"/>
      <c r="J149" s="274" t="s">
        <v>65</v>
      </c>
      <c r="K149" s="275"/>
      <c r="L149" s="272" t="s">
        <v>8</v>
      </c>
      <c r="M149" s="272"/>
      <c r="N149" s="272"/>
      <c r="O149" s="276"/>
      <c r="P149" s="349"/>
      <c r="Q149" s="359" t="s">
        <v>167</v>
      </c>
      <c r="R149" s="351" t="s">
        <v>8</v>
      </c>
      <c r="S149" s="349"/>
    </row>
    <row r="150" spans="1:19" x14ac:dyDescent="0.35">
      <c r="A150" s="1434"/>
      <c r="B150" s="1125">
        <v>124</v>
      </c>
      <c r="C150" s="23">
        <v>99</v>
      </c>
      <c r="D150" s="24">
        <f t="shared" si="5"/>
        <v>1065.6261</v>
      </c>
      <c r="E150" s="272"/>
      <c r="F150" s="272" t="s">
        <v>8</v>
      </c>
      <c r="G150" s="272"/>
      <c r="H150" s="272"/>
      <c r="I150" s="273"/>
      <c r="J150" s="274" t="s">
        <v>65</v>
      </c>
      <c r="K150" s="275"/>
      <c r="L150" s="272" t="s">
        <v>8</v>
      </c>
      <c r="M150" s="272"/>
      <c r="N150" s="272"/>
      <c r="O150" s="276"/>
      <c r="P150" s="349"/>
      <c r="Q150" s="358" t="s">
        <v>166</v>
      </c>
      <c r="R150" s="352" t="s">
        <v>8</v>
      </c>
      <c r="S150" s="351"/>
    </row>
    <row r="151" spans="1:19" x14ac:dyDescent="0.35">
      <c r="A151" s="1434"/>
      <c r="B151" s="1125">
        <v>125</v>
      </c>
      <c r="C151" s="23">
        <v>75.3</v>
      </c>
      <c r="D151" s="24">
        <f t="shared" si="5"/>
        <v>810.52166999999997</v>
      </c>
      <c r="E151" s="272" t="s">
        <v>8</v>
      </c>
      <c r="F151" s="272"/>
      <c r="G151" s="272"/>
      <c r="H151" s="272"/>
      <c r="I151" s="273"/>
      <c r="J151" s="274" t="s">
        <v>65</v>
      </c>
      <c r="K151" s="275"/>
      <c r="L151" s="272" t="s">
        <v>8</v>
      </c>
      <c r="M151" s="272"/>
      <c r="N151" s="272"/>
      <c r="O151" s="276"/>
      <c r="P151" s="349"/>
      <c r="Q151" s="359" t="s">
        <v>167</v>
      </c>
      <c r="R151" s="349" t="s">
        <v>8</v>
      </c>
      <c r="S151" s="349"/>
    </row>
    <row r="152" spans="1:19" x14ac:dyDescent="0.35">
      <c r="A152" s="1434"/>
      <c r="B152" s="1125">
        <v>126</v>
      </c>
      <c r="C152" s="23">
        <v>75.3</v>
      </c>
      <c r="D152" s="24">
        <f t="shared" si="5"/>
        <v>810.52166999999997</v>
      </c>
      <c r="E152" s="272" t="s">
        <v>8</v>
      </c>
      <c r="F152" s="272"/>
      <c r="G152" s="272"/>
      <c r="H152" s="272"/>
      <c r="I152" s="273"/>
      <c r="J152" s="274" t="s">
        <v>65</v>
      </c>
      <c r="K152" s="275"/>
      <c r="L152" s="272" t="s">
        <v>8</v>
      </c>
      <c r="M152" s="272"/>
      <c r="N152" s="272"/>
      <c r="O152" s="276"/>
      <c r="P152" s="349"/>
      <c r="Q152" s="359" t="s">
        <v>167</v>
      </c>
      <c r="R152" s="349" t="s">
        <v>8</v>
      </c>
      <c r="S152" s="349"/>
    </row>
    <row r="153" spans="1:19" x14ac:dyDescent="0.35">
      <c r="A153" s="1434"/>
      <c r="B153" s="1125">
        <v>127</v>
      </c>
      <c r="C153" s="23">
        <v>75.3</v>
      </c>
      <c r="D153" s="24">
        <f t="shared" si="5"/>
        <v>810.52166999999997</v>
      </c>
      <c r="E153" s="272" t="s">
        <v>8</v>
      </c>
      <c r="F153" s="272"/>
      <c r="G153" s="272"/>
      <c r="H153" s="272"/>
      <c r="I153" s="273"/>
      <c r="J153" s="274" t="s">
        <v>65</v>
      </c>
      <c r="K153" s="275"/>
      <c r="L153" s="272" t="s">
        <v>8</v>
      </c>
      <c r="M153" s="272"/>
      <c r="N153" s="272"/>
      <c r="O153" s="276"/>
      <c r="P153" s="349"/>
      <c r="Q153" s="359" t="s">
        <v>167</v>
      </c>
      <c r="R153" s="351" t="s">
        <v>8</v>
      </c>
      <c r="S153" s="349"/>
    </row>
    <row r="154" spans="1:19" x14ac:dyDescent="0.35">
      <c r="A154" s="1434"/>
      <c r="B154" s="1125">
        <v>128</v>
      </c>
      <c r="C154" s="23">
        <v>70.599999999999994</v>
      </c>
      <c r="D154" s="24">
        <f t="shared" si="5"/>
        <v>759.93133999999986</v>
      </c>
      <c r="E154" s="272" t="s">
        <v>8</v>
      </c>
      <c r="F154" s="272"/>
      <c r="G154" s="272"/>
      <c r="H154" s="272"/>
      <c r="I154" s="273"/>
      <c r="J154" s="274" t="s">
        <v>65</v>
      </c>
      <c r="K154" s="275"/>
      <c r="L154" s="272" t="s">
        <v>8</v>
      </c>
      <c r="M154" s="272"/>
      <c r="N154" s="272"/>
      <c r="O154" s="276"/>
      <c r="P154" s="349"/>
      <c r="Q154" s="358" t="s">
        <v>166</v>
      </c>
      <c r="R154" s="349" t="s">
        <v>8</v>
      </c>
      <c r="S154" s="351"/>
    </row>
    <row r="155" spans="1:19" x14ac:dyDescent="0.35">
      <c r="A155" s="1434"/>
      <c r="B155" s="1125">
        <v>129</v>
      </c>
      <c r="C155" s="23">
        <v>91.4</v>
      </c>
      <c r="D155" s="24">
        <f t="shared" si="5"/>
        <v>983.82046000000003</v>
      </c>
      <c r="E155" s="272" t="s">
        <v>8</v>
      </c>
      <c r="F155" s="272"/>
      <c r="G155" s="272"/>
      <c r="H155" s="272"/>
      <c r="I155" s="273"/>
      <c r="J155" s="274" t="s">
        <v>63</v>
      </c>
      <c r="K155" s="275"/>
      <c r="L155" s="272"/>
      <c r="M155" s="272" t="s">
        <v>8</v>
      </c>
      <c r="N155" s="272"/>
      <c r="O155" s="276"/>
      <c r="P155" s="349"/>
      <c r="Q155" s="359" t="s">
        <v>167</v>
      </c>
      <c r="R155" s="349" t="s">
        <v>8</v>
      </c>
      <c r="S155" s="349"/>
    </row>
    <row r="156" spans="1:19" x14ac:dyDescent="0.35">
      <c r="A156" s="1434"/>
      <c r="B156" s="1360">
        <v>130</v>
      </c>
      <c r="C156" s="1362">
        <v>108.2</v>
      </c>
      <c r="D156" s="1364">
        <f>SUM(C156*10.7639)</f>
        <v>1164.65398</v>
      </c>
      <c r="E156" s="1356" t="s">
        <v>8</v>
      </c>
      <c r="F156" s="1354"/>
      <c r="G156" s="1354"/>
      <c r="H156" s="1354"/>
      <c r="I156" s="1375"/>
      <c r="J156" s="274" t="s">
        <v>63</v>
      </c>
      <c r="K156" s="1377"/>
      <c r="L156" s="1354"/>
      <c r="M156" s="1356" t="s">
        <v>8</v>
      </c>
      <c r="N156" s="1356"/>
      <c r="O156" s="1370"/>
      <c r="P156" s="1297"/>
      <c r="Q156" s="1366" t="s">
        <v>167</v>
      </c>
      <c r="R156" s="1297" t="s">
        <v>8</v>
      </c>
      <c r="S156" s="1297"/>
    </row>
    <row r="157" spans="1:19" x14ac:dyDescent="0.35">
      <c r="A157" s="1434"/>
      <c r="B157" s="1361"/>
      <c r="C157" s="1363"/>
      <c r="D157" s="1365"/>
      <c r="E157" s="1357"/>
      <c r="F157" s="1355"/>
      <c r="G157" s="1355"/>
      <c r="H157" s="1355"/>
      <c r="I157" s="1376"/>
      <c r="J157" s="274" t="s">
        <v>66</v>
      </c>
      <c r="K157" s="1378"/>
      <c r="L157" s="1355"/>
      <c r="M157" s="1357"/>
      <c r="N157" s="1357"/>
      <c r="O157" s="1371"/>
      <c r="P157" s="1322"/>
      <c r="Q157" s="1367"/>
      <c r="R157" s="1298"/>
      <c r="S157" s="1298"/>
    </row>
    <row r="158" spans="1:19" x14ac:dyDescent="0.35">
      <c r="A158" s="1434"/>
      <c r="B158" s="1360">
        <v>131</v>
      </c>
      <c r="C158" s="1362">
        <v>127.5</v>
      </c>
      <c r="D158" s="1364">
        <f>SUM(C158*10.7639)</f>
        <v>1372.39725</v>
      </c>
      <c r="E158" s="1356" t="s">
        <v>8</v>
      </c>
      <c r="F158" s="1354"/>
      <c r="G158" s="1354"/>
      <c r="H158" s="1354"/>
      <c r="I158" s="1375"/>
      <c r="J158" s="274" t="s">
        <v>64</v>
      </c>
      <c r="K158" s="1377"/>
      <c r="L158" s="1354"/>
      <c r="M158" s="1354"/>
      <c r="N158" s="1356" t="s">
        <v>8</v>
      </c>
      <c r="O158" s="1370"/>
      <c r="P158" s="1322"/>
      <c r="Q158" s="1366" t="s">
        <v>167</v>
      </c>
      <c r="R158" s="1297" t="s">
        <v>8</v>
      </c>
      <c r="S158" s="1297"/>
    </row>
    <row r="159" spans="1:19" x14ac:dyDescent="0.35">
      <c r="A159" s="1434"/>
      <c r="B159" s="1361"/>
      <c r="C159" s="1363"/>
      <c r="D159" s="1365"/>
      <c r="E159" s="1357"/>
      <c r="F159" s="1355"/>
      <c r="G159" s="1355"/>
      <c r="H159" s="1355"/>
      <c r="I159" s="1376"/>
      <c r="J159" s="274" t="s">
        <v>214</v>
      </c>
      <c r="K159" s="1378"/>
      <c r="L159" s="1355"/>
      <c r="M159" s="1355"/>
      <c r="N159" s="1357"/>
      <c r="O159" s="1371"/>
      <c r="P159" s="1298"/>
      <c r="Q159" s="1367"/>
      <c r="R159" s="1298"/>
      <c r="S159" s="1298"/>
    </row>
    <row r="160" spans="1:19" x14ac:dyDescent="0.35">
      <c r="A160" s="1434"/>
      <c r="B160" s="1360">
        <v>132</v>
      </c>
      <c r="C160" s="1362">
        <v>72.599999999999994</v>
      </c>
      <c r="D160" s="1364">
        <f t="shared" si="5"/>
        <v>781.45913999999993</v>
      </c>
      <c r="E160" s="1356" t="s">
        <v>8</v>
      </c>
      <c r="F160" s="1354"/>
      <c r="G160" s="1354"/>
      <c r="H160" s="1354"/>
      <c r="I160" s="1375"/>
      <c r="J160" s="274" t="s">
        <v>66</v>
      </c>
      <c r="K160" s="1377"/>
      <c r="L160" s="1356" t="s">
        <v>8</v>
      </c>
      <c r="M160" s="1356"/>
      <c r="N160" s="1356"/>
      <c r="O160" s="1370"/>
      <c r="P160" s="1297" t="s">
        <v>8</v>
      </c>
      <c r="Q160" s="1366" t="s">
        <v>167</v>
      </c>
      <c r="R160" s="1297" t="s">
        <v>8</v>
      </c>
      <c r="S160" s="1297"/>
    </row>
    <row r="161" spans="1:19" x14ac:dyDescent="0.35">
      <c r="A161" s="1434"/>
      <c r="B161" s="1361"/>
      <c r="C161" s="1363"/>
      <c r="D161" s="1365"/>
      <c r="E161" s="1357"/>
      <c r="F161" s="1355"/>
      <c r="G161" s="1355"/>
      <c r="H161" s="1355"/>
      <c r="I161" s="1376"/>
      <c r="J161" s="274" t="s">
        <v>215</v>
      </c>
      <c r="K161" s="1378"/>
      <c r="L161" s="1357"/>
      <c r="M161" s="1357"/>
      <c r="N161" s="1357"/>
      <c r="O161" s="1371"/>
      <c r="P161" s="1298"/>
      <c r="Q161" s="1367"/>
      <c r="R161" s="1298"/>
      <c r="S161" s="1298"/>
    </row>
    <row r="162" spans="1:19" x14ac:dyDescent="0.35">
      <c r="A162" s="1434"/>
      <c r="B162" s="1125">
        <v>133</v>
      </c>
      <c r="C162" s="23">
        <v>90</v>
      </c>
      <c r="D162" s="24">
        <f t="shared" si="5"/>
        <v>968.75099999999998</v>
      </c>
      <c r="E162" s="272" t="s">
        <v>8</v>
      </c>
      <c r="F162" s="272"/>
      <c r="G162" s="272"/>
      <c r="H162" s="272"/>
      <c r="I162" s="273"/>
      <c r="J162" s="274" t="s">
        <v>215</v>
      </c>
      <c r="K162" s="275"/>
      <c r="L162" s="272"/>
      <c r="M162" s="272" t="s">
        <v>8</v>
      </c>
      <c r="N162" s="272"/>
      <c r="O162" s="276"/>
      <c r="P162" s="349"/>
      <c r="Q162" s="359" t="s">
        <v>167</v>
      </c>
      <c r="R162" s="349" t="s">
        <v>8</v>
      </c>
      <c r="S162" s="349"/>
    </row>
    <row r="163" spans="1:19" x14ac:dyDescent="0.35">
      <c r="A163" s="1434"/>
      <c r="B163" s="1125">
        <v>134</v>
      </c>
      <c r="C163" s="23">
        <v>97.1</v>
      </c>
      <c r="D163" s="24">
        <f t="shared" si="5"/>
        <v>1045.1746899999998</v>
      </c>
      <c r="E163" s="272" t="s">
        <v>8</v>
      </c>
      <c r="F163" s="272"/>
      <c r="G163" s="272"/>
      <c r="H163" s="272"/>
      <c r="I163" s="273"/>
      <c r="J163" s="274" t="s">
        <v>215</v>
      </c>
      <c r="K163" s="275"/>
      <c r="L163" s="272"/>
      <c r="M163" s="272" t="s">
        <v>8</v>
      </c>
      <c r="N163" s="272"/>
      <c r="O163" s="276"/>
      <c r="P163" s="349"/>
      <c r="Q163" s="359" t="s">
        <v>167</v>
      </c>
      <c r="R163" s="349" t="s">
        <v>8</v>
      </c>
      <c r="S163" s="349"/>
    </row>
    <row r="164" spans="1:19" x14ac:dyDescent="0.35">
      <c r="A164" s="1434"/>
      <c r="B164" s="1360">
        <v>135</v>
      </c>
      <c r="C164" s="1362">
        <v>91.3</v>
      </c>
      <c r="D164" s="1364">
        <f t="shared" si="5"/>
        <v>982.74406999999997</v>
      </c>
      <c r="E164" s="1356" t="s">
        <v>8</v>
      </c>
      <c r="F164" s="1354"/>
      <c r="G164" s="1354"/>
      <c r="H164" s="1354"/>
      <c r="I164" s="1375"/>
      <c r="J164" s="448" t="s">
        <v>66</v>
      </c>
      <c r="K164" s="1377"/>
      <c r="L164" s="1354"/>
      <c r="M164" s="1356" t="s">
        <v>8</v>
      </c>
      <c r="N164" s="1356"/>
      <c r="O164" s="1370"/>
      <c r="P164" s="1297"/>
      <c r="Q164" s="1366" t="s">
        <v>167</v>
      </c>
      <c r="R164" s="1297" t="s">
        <v>8</v>
      </c>
      <c r="S164" s="1297"/>
    </row>
    <row r="165" spans="1:19" x14ac:dyDescent="0.35">
      <c r="A165" s="1434"/>
      <c r="B165" s="1361"/>
      <c r="C165" s="1363"/>
      <c r="D165" s="1365"/>
      <c r="E165" s="1357"/>
      <c r="F165" s="1355"/>
      <c r="G165" s="1355"/>
      <c r="H165" s="1355"/>
      <c r="I165" s="1376"/>
      <c r="J165" s="274" t="s">
        <v>65</v>
      </c>
      <c r="K165" s="1378"/>
      <c r="L165" s="1355"/>
      <c r="M165" s="1357"/>
      <c r="N165" s="1357"/>
      <c r="O165" s="1371"/>
      <c r="P165" s="1298"/>
      <c r="Q165" s="1374"/>
      <c r="R165" s="1298"/>
      <c r="S165" s="1322"/>
    </row>
    <row r="166" spans="1:19" x14ac:dyDescent="0.35">
      <c r="A166" s="1434"/>
      <c r="B166" s="1125">
        <v>136</v>
      </c>
      <c r="C166" s="23">
        <v>88.5</v>
      </c>
      <c r="D166" s="24">
        <f t="shared" si="5"/>
        <v>952.60514999999998</v>
      </c>
      <c r="E166" s="272"/>
      <c r="F166" s="272"/>
      <c r="G166" s="272" t="s">
        <v>8</v>
      </c>
      <c r="H166" s="272"/>
      <c r="I166" s="273"/>
      <c r="J166" s="274" t="s">
        <v>65</v>
      </c>
      <c r="K166" s="275"/>
      <c r="L166" s="272"/>
      <c r="M166" s="272" t="s">
        <v>8</v>
      </c>
      <c r="N166" s="272"/>
      <c r="O166" s="276"/>
      <c r="P166" s="349"/>
      <c r="Q166" s="359" t="s">
        <v>166</v>
      </c>
      <c r="R166" s="349" t="s">
        <v>8</v>
      </c>
      <c r="S166" s="349"/>
    </row>
    <row r="167" spans="1:19" x14ac:dyDescent="0.35">
      <c r="A167" s="1434"/>
      <c r="B167" s="1125">
        <v>137</v>
      </c>
      <c r="C167" s="23">
        <v>89.9</v>
      </c>
      <c r="D167" s="24">
        <f t="shared" si="5"/>
        <v>967.67461000000003</v>
      </c>
      <c r="E167" s="272" t="s">
        <v>8</v>
      </c>
      <c r="F167" s="272"/>
      <c r="G167" s="272"/>
      <c r="H167" s="272"/>
      <c r="I167" s="273"/>
      <c r="J167" s="274" t="s">
        <v>65</v>
      </c>
      <c r="K167" s="275"/>
      <c r="L167" s="272"/>
      <c r="M167" s="272" t="s">
        <v>8</v>
      </c>
      <c r="N167" s="272"/>
      <c r="O167" s="276"/>
      <c r="P167" s="349"/>
      <c r="Q167" s="359" t="s">
        <v>167</v>
      </c>
      <c r="R167" s="349" t="s">
        <v>8</v>
      </c>
      <c r="S167" s="349"/>
    </row>
    <row r="168" spans="1:19" x14ac:dyDescent="0.35">
      <c r="A168" s="1434"/>
      <c r="B168" s="1125">
        <v>138</v>
      </c>
      <c r="C168" s="23">
        <v>90.7</v>
      </c>
      <c r="D168" s="24">
        <f t="shared" si="5"/>
        <v>976.28572999999994</v>
      </c>
      <c r="E168" s="272" t="s">
        <v>8</v>
      </c>
      <c r="F168" s="272"/>
      <c r="G168" s="272"/>
      <c r="H168" s="272"/>
      <c r="I168" s="273"/>
      <c r="J168" s="274" t="s">
        <v>63</v>
      </c>
      <c r="K168" s="275"/>
      <c r="L168" s="272" t="s">
        <v>8</v>
      </c>
      <c r="M168" s="272"/>
      <c r="N168" s="272"/>
      <c r="O168" s="276"/>
      <c r="P168" s="349"/>
      <c r="Q168" s="359" t="s">
        <v>168</v>
      </c>
      <c r="R168" s="349" t="s">
        <v>8</v>
      </c>
      <c r="S168" s="349"/>
    </row>
    <row r="169" spans="1:19" x14ac:dyDescent="0.35">
      <c r="A169" s="1434"/>
      <c r="B169" s="1125">
        <v>139</v>
      </c>
      <c r="C169" s="23">
        <v>90.7</v>
      </c>
      <c r="D169" s="24">
        <f t="shared" si="5"/>
        <v>976.28572999999994</v>
      </c>
      <c r="E169" s="272" t="s">
        <v>8</v>
      </c>
      <c r="F169" s="272"/>
      <c r="G169" s="272"/>
      <c r="H169" s="272"/>
      <c r="I169" s="273"/>
      <c r="J169" s="274" t="s">
        <v>160</v>
      </c>
      <c r="K169" s="275"/>
      <c r="L169" s="272" t="s">
        <v>8</v>
      </c>
      <c r="M169" s="272"/>
      <c r="N169" s="272"/>
      <c r="O169" s="276"/>
      <c r="P169" s="349"/>
      <c r="Q169" s="359" t="s">
        <v>168</v>
      </c>
      <c r="R169" s="349" t="s">
        <v>8</v>
      </c>
      <c r="S169" s="349"/>
    </row>
    <row r="170" spans="1:19" x14ac:dyDescent="0.35">
      <c r="A170" s="1434"/>
      <c r="B170" s="1125">
        <v>140</v>
      </c>
      <c r="C170" s="23">
        <v>87.6</v>
      </c>
      <c r="D170" s="24">
        <f t="shared" si="5"/>
        <v>942.91763999999989</v>
      </c>
      <c r="E170" s="272" t="s">
        <v>8</v>
      </c>
      <c r="F170" s="272"/>
      <c r="G170" s="272"/>
      <c r="H170" s="272"/>
      <c r="I170" s="273"/>
      <c r="J170" s="274" t="s">
        <v>160</v>
      </c>
      <c r="K170" s="275"/>
      <c r="L170" s="272" t="s">
        <v>8</v>
      </c>
      <c r="M170" s="272"/>
      <c r="N170" s="272"/>
      <c r="O170" s="276"/>
      <c r="P170" s="350"/>
      <c r="Q170" s="359" t="s">
        <v>167</v>
      </c>
      <c r="R170" s="349" t="s">
        <v>8</v>
      </c>
      <c r="S170" s="349"/>
    </row>
    <row r="171" spans="1:19" x14ac:dyDescent="0.35">
      <c r="A171" s="1434"/>
      <c r="B171" s="295">
        <v>141</v>
      </c>
      <c r="C171" s="23">
        <v>97.3</v>
      </c>
      <c r="D171" s="24">
        <f t="shared" si="5"/>
        <v>1047.3274699999999</v>
      </c>
      <c r="E171" s="272" t="s">
        <v>8</v>
      </c>
      <c r="F171" s="272"/>
      <c r="G171" s="272"/>
      <c r="H171" s="272"/>
      <c r="I171" s="273"/>
      <c r="J171" s="274" t="s">
        <v>215</v>
      </c>
      <c r="K171" s="275"/>
      <c r="L171" s="272"/>
      <c r="M171" s="272" t="s">
        <v>8</v>
      </c>
      <c r="N171" s="272"/>
      <c r="O171" s="276"/>
      <c r="P171" s="350"/>
      <c r="Q171" s="359" t="s">
        <v>167</v>
      </c>
      <c r="R171" s="349" t="s">
        <v>8</v>
      </c>
      <c r="S171" s="349"/>
    </row>
    <row r="172" spans="1:19" x14ac:dyDescent="0.35">
      <c r="A172" s="1435"/>
      <c r="B172" s="1124">
        <v>142</v>
      </c>
      <c r="C172" s="1106">
        <v>89</v>
      </c>
      <c r="D172" s="1126">
        <f t="shared" si="5"/>
        <v>957.98709999999994</v>
      </c>
      <c r="E172" s="1105" t="s">
        <v>8</v>
      </c>
      <c r="F172" s="272"/>
      <c r="G172" s="272"/>
      <c r="H172" s="1105"/>
      <c r="I172" s="1115"/>
      <c r="J172" s="1112" t="s">
        <v>65</v>
      </c>
      <c r="K172" s="1113"/>
      <c r="L172" s="1105" t="s">
        <v>8</v>
      </c>
      <c r="M172" s="1105"/>
      <c r="N172" s="1105"/>
      <c r="O172" s="1114"/>
      <c r="P172" s="349"/>
      <c r="Q172" s="359" t="s">
        <v>167</v>
      </c>
      <c r="R172" s="349" t="s">
        <v>8</v>
      </c>
      <c r="S172" s="349"/>
    </row>
    <row r="173" spans="1:19" x14ac:dyDescent="0.35">
      <c r="A173" s="1433" t="s">
        <v>120</v>
      </c>
      <c r="B173" s="1125">
        <v>143</v>
      </c>
      <c r="C173" s="23">
        <v>38.200000000000003</v>
      </c>
      <c r="D173" s="24">
        <f t="shared" si="5"/>
        <v>411.18098000000003</v>
      </c>
      <c r="E173" s="272"/>
      <c r="F173" s="277"/>
      <c r="G173" s="277" t="s">
        <v>8</v>
      </c>
      <c r="H173" s="272"/>
      <c r="I173" s="278"/>
      <c r="J173" s="1112" t="s">
        <v>67</v>
      </c>
      <c r="K173" s="280" t="s">
        <v>8</v>
      </c>
      <c r="L173" s="272"/>
      <c r="M173" s="272"/>
      <c r="N173" s="272"/>
      <c r="O173" s="276"/>
      <c r="P173" s="350"/>
      <c r="Q173" s="1111" t="s">
        <v>164</v>
      </c>
      <c r="R173" s="350" t="s">
        <v>8</v>
      </c>
      <c r="S173" s="350"/>
    </row>
    <row r="174" spans="1:19" x14ac:dyDescent="0.35">
      <c r="A174" s="1434"/>
      <c r="B174" s="1125">
        <v>144</v>
      </c>
      <c r="C174" s="23">
        <v>52.1</v>
      </c>
      <c r="D174" s="24">
        <f t="shared" si="5"/>
        <v>560.79918999999995</v>
      </c>
      <c r="E174" s="272"/>
      <c r="F174" s="272"/>
      <c r="G174" s="272" t="s">
        <v>8</v>
      </c>
      <c r="H174" s="272"/>
      <c r="I174" s="273"/>
      <c r="J174" s="274" t="s">
        <v>67</v>
      </c>
      <c r="K174" s="275" t="s">
        <v>8</v>
      </c>
      <c r="L174" s="272"/>
      <c r="M174" s="272"/>
      <c r="N174" s="272"/>
      <c r="O174" s="276"/>
      <c r="P174" s="350"/>
      <c r="Q174" s="359" t="s">
        <v>164</v>
      </c>
      <c r="R174" s="349" t="s">
        <v>8</v>
      </c>
      <c r="S174" s="349"/>
    </row>
    <row r="175" spans="1:19" x14ac:dyDescent="0.35">
      <c r="A175" s="1434"/>
      <c r="B175" s="1125">
        <v>145</v>
      </c>
      <c r="C175" s="23">
        <v>38.200000000000003</v>
      </c>
      <c r="D175" s="24">
        <f t="shared" ref="D175:D183" si="6">SUM(C175*10.7639)</f>
        <v>411.18098000000003</v>
      </c>
      <c r="E175" s="272"/>
      <c r="F175" s="272"/>
      <c r="G175" s="272"/>
      <c r="H175" s="272"/>
      <c r="I175" s="273" t="s">
        <v>8</v>
      </c>
      <c r="J175" s="274" t="s">
        <v>66</v>
      </c>
      <c r="K175" s="275" t="s">
        <v>8</v>
      </c>
      <c r="L175" s="272"/>
      <c r="M175" s="272"/>
      <c r="N175" s="272"/>
      <c r="O175" s="276"/>
      <c r="P175" s="351"/>
      <c r="Q175" s="359" t="s">
        <v>164</v>
      </c>
      <c r="R175" s="349"/>
      <c r="S175" s="349" t="s">
        <v>8</v>
      </c>
    </row>
    <row r="176" spans="1:19" x14ac:dyDescent="0.35">
      <c r="A176" s="1434"/>
      <c r="B176" s="1125">
        <v>146</v>
      </c>
      <c r="C176" s="23">
        <v>52.1</v>
      </c>
      <c r="D176" s="24">
        <f t="shared" si="6"/>
        <v>560.79918999999995</v>
      </c>
      <c r="E176" s="272"/>
      <c r="F176" s="272"/>
      <c r="G176" s="272"/>
      <c r="H176" s="272"/>
      <c r="I176" s="273" t="s">
        <v>8</v>
      </c>
      <c r="J176" s="274" t="s">
        <v>67</v>
      </c>
      <c r="K176" s="275" t="s">
        <v>8</v>
      </c>
      <c r="L176" s="272"/>
      <c r="M176" s="272"/>
      <c r="N176" s="272"/>
      <c r="O176" s="276"/>
      <c r="P176" s="349"/>
      <c r="Q176" s="359" t="s">
        <v>164</v>
      </c>
      <c r="R176" s="349"/>
      <c r="S176" s="349" t="s">
        <v>8</v>
      </c>
    </row>
    <row r="177" spans="1:19" x14ac:dyDescent="0.35">
      <c r="A177" s="1434"/>
      <c r="B177" s="1125">
        <v>147</v>
      </c>
      <c r="C177" s="23">
        <v>38.200000000000003</v>
      </c>
      <c r="D177" s="24">
        <f t="shared" si="6"/>
        <v>411.18098000000003</v>
      </c>
      <c r="E177" s="272"/>
      <c r="F177" s="272"/>
      <c r="G177" s="272"/>
      <c r="H177" s="272"/>
      <c r="I177" s="273" t="s">
        <v>8</v>
      </c>
      <c r="J177" s="274" t="s">
        <v>66</v>
      </c>
      <c r="K177" s="275" t="s">
        <v>8</v>
      </c>
      <c r="L177" s="272"/>
      <c r="M177" s="272"/>
      <c r="N177" s="272"/>
      <c r="O177" s="276"/>
      <c r="P177" s="349"/>
      <c r="Q177" s="359" t="s">
        <v>164</v>
      </c>
      <c r="R177" s="349"/>
      <c r="S177" s="349" t="s">
        <v>8</v>
      </c>
    </row>
    <row r="178" spans="1:19" x14ac:dyDescent="0.35">
      <c r="A178" s="1434"/>
      <c r="B178" s="1125">
        <v>148</v>
      </c>
      <c r="C178" s="23">
        <v>52.1</v>
      </c>
      <c r="D178" s="24">
        <f t="shared" si="6"/>
        <v>560.79918999999995</v>
      </c>
      <c r="E178" s="272"/>
      <c r="F178" s="272"/>
      <c r="G178" s="272"/>
      <c r="H178" s="272"/>
      <c r="I178" s="273" t="s">
        <v>8</v>
      </c>
      <c r="J178" s="274" t="s">
        <v>67</v>
      </c>
      <c r="K178" s="275" t="s">
        <v>8</v>
      </c>
      <c r="L178" s="272"/>
      <c r="M178" s="272"/>
      <c r="N178" s="272"/>
      <c r="O178" s="276"/>
      <c r="P178" s="349"/>
      <c r="Q178" s="359" t="s">
        <v>164</v>
      </c>
      <c r="R178" s="349"/>
      <c r="S178" s="349" t="s">
        <v>8</v>
      </c>
    </row>
    <row r="179" spans="1:19" x14ac:dyDescent="0.35">
      <c r="A179" s="1434"/>
      <c r="B179" s="1125">
        <v>149</v>
      </c>
      <c r="C179" s="23">
        <v>70</v>
      </c>
      <c r="D179" s="24">
        <f t="shared" si="6"/>
        <v>753.47299999999996</v>
      </c>
      <c r="E179" s="272"/>
      <c r="F179" s="272"/>
      <c r="G179" s="272"/>
      <c r="H179" s="272" t="s">
        <v>8</v>
      </c>
      <c r="I179" s="273"/>
      <c r="J179" s="274" t="s">
        <v>67</v>
      </c>
      <c r="K179" s="275"/>
      <c r="L179" s="272" t="s">
        <v>8</v>
      </c>
      <c r="M179" s="272"/>
      <c r="N179" s="272"/>
      <c r="O179" s="276"/>
      <c r="P179" s="351"/>
      <c r="Q179" s="358" t="s">
        <v>166</v>
      </c>
      <c r="R179" s="351"/>
      <c r="S179" s="351" t="s">
        <v>8</v>
      </c>
    </row>
    <row r="180" spans="1:19" x14ac:dyDescent="0.35">
      <c r="A180" s="1434"/>
      <c r="B180" s="1125">
        <v>150</v>
      </c>
      <c r="C180" s="23">
        <v>38.200000000000003</v>
      </c>
      <c r="D180" s="24">
        <f t="shared" si="6"/>
        <v>411.18098000000003</v>
      </c>
      <c r="E180" s="272"/>
      <c r="F180" s="272"/>
      <c r="G180" s="272"/>
      <c r="H180" s="272"/>
      <c r="I180" s="273" t="s">
        <v>8</v>
      </c>
      <c r="J180" s="274" t="s">
        <v>66</v>
      </c>
      <c r="K180" s="275" t="s">
        <v>8</v>
      </c>
      <c r="L180" s="272"/>
      <c r="M180" s="272"/>
      <c r="N180" s="272"/>
      <c r="O180" s="276"/>
      <c r="P180" s="349"/>
      <c r="Q180" s="359" t="s">
        <v>164</v>
      </c>
      <c r="R180" s="349"/>
      <c r="S180" s="349" t="s">
        <v>8</v>
      </c>
    </row>
    <row r="181" spans="1:19" x14ac:dyDescent="0.35">
      <c r="A181" s="1434"/>
      <c r="B181" s="1125">
        <v>151</v>
      </c>
      <c r="C181" s="23">
        <v>52.1</v>
      </c>
      <c r="D181" s="24">
        <f t="shared" si="6"/>
        <v>560.79918999999995</v>
      </c>
      <c r="E181" s="272"/>
      <c r="F181" s="272"/>
      <c r="G181" s="272"/>
      <c r="H181" s="272"/>
      <c r="I181" s="273" t="s">
        <v>8</v>
      </c>
      <c r="J181" s="274" t="s">
        <v>67</v>
      </c>
      <c r="K181" s="275" t="s">
        <v>8</v>
      </c>
      <c r="L181" s="272"/>
      <c r="M181" s="272"/>
      <c r="N181" s="272"/>
      <c r="O181" s="276"/>
      <c r="P181" s="349"/>
      <c r="Q181" s="359" t="s">
        <v>164</v>
      </c>
      <c r="R181" s="349"/>
      <c r="S181" s="349" t="s">
        <v>8</v>
      </c>
    </row>
    <row r="182" spans="1:19" x14ac:dyDescent="0.35">
      <c r="A182" s="1434"/>
      <c r="B182" s="1125">
        <v>152</v>
      </c>
      <c r="C182" s="23">
        <v>38.200000000000003</v>
      </c>
      <c r="D182" s="24">
        <f t="shared" si="6"/>
        <v>411.18098000000003</v>
      </c>
      <c r="E182" s="272"/>
      <c r="F182" s="272"/>
      <c r="G182" s="272"/>
      <c r="H182" s="272"/>
      <c r="I182" s="273" t="s">
        <v>8</v>
      </c>
      <c r="J182" s="274" t="s">
        <v>66</v>
      </c>
      <c r="K182" s="275" t="s">
        <v>8</v>
      </c>
      <c r="L182" s="272"/>
      <c r="M182" s="272"/>
      <c r="N182" s="272"/>
      <c r="O182" s="276"/>
      <c r="P182" s="349"/>
      <c r="Q182" s="359" t="s">
        <v>164</v>
      </c>
      <c r="R182" s="349"/>
      <c r="S182" s="349" t="s">
        <v>8</v>
      </c>
    </row>
    <row r="183" spans="1:19" x14ac:dyDescent="0.35">
      <c r="A183" s="1434"/>
      <c r="B183" s="1125">
        <v>153</v>
      </c>
      <c r="C183" s="23">
        <v>49.8</v>
      </c>
      <c r="D183" s="24">
        <f t="shared" si="6"/>
        <v>536.04221999999993</v>
      </c>
      <c r="E183" s="272"/>
      <c r="F183" s="272"/>
      <c r="G183" s="272"/>
      <c r="H183" s="272"/>
      <c r="I183" s="273" t="s">
        <v>8</v>
      </c>
      <c r="J183" s="274" t="s">
        <v>67</v>
      </c>
      <c r="K183" s="275" t="s">
        <v>8</v>
      </c>
      <c r="L183" s="272"/>
      <c r="M183" s="272"/>
      <c r="N183" s="272"/>
      <c r="O183" s="276"/>
      <c r="P183" s="349"/>
      <c r="Q183" s="359" t="s">
        <v>164</v>
      </c>
      <c r="R183" s="349"/>
      <c r="S183" s="349" t="s">
        <v>8</v>
      </c>
    </row>
    <row r="184" spans="1:19" x14ac:dyDescent="0.35">
      <c r="A184" s="1434"/>
      <c r="B184" s="1125">
        <v>154</v>
      </c>
      <c r="C184" s="23">
        <v>37.200000000000003</v>
      </c>
      <c r="D184" s="24">
        <f t="shared" ref="D184:D196" si="7">SUM(C184*10.7639)</f>
        <v>400.41708</v>
      </c>
      <c r="E184" s="272"/>
      <c r="F184" s="272"/>
      <c r="G184" s="272"/>
      <c r="H184" s="272"/>
      <c r="I184" s="273" t="s">
        <v>8</v>
      </c>
      <c r="J184" s="274" t="s">
        <v>66</v>
      </c>
      <c r="K184" s="275" t="s">
        <v>8</v>
      </c>
      <c r="L184" s="272"/>
      <c r="M184" s="272"/>
      <c r="N184" s="272"/>
      <c r="O184" s="276"/>
      <c r="P184" s="351"/>
      <c r="Q184" s="359" t="s">
        <v>164</v>
      </c>
      <c r="R184" s="349"/>
      <c r="S184" s="349" t="s">
        <v>8</v>
      </c>
    </row>
    <row r="185" spans="1:19" x14ac:dyDescent="0.35">
      <c r="A185" s="1434"/>
      <c r="B185" s="1125">
        <v>155</v>
      </c>
      <c r="C185" s="23">
        <v>49.8</v>
      </c>
      <c r="D185" s="24">
        <f t="shared" si="7"/>
        <v>536.04221999999993</v>
      </c>
      <c r="E185" s="272"/>
      <c r="F185" s="272"/>
      <c r="G185" s="272"/>
      <c r="H185" s="272"/>
      <c r="I185" s="273" t="s">
        <v>8</v>
      </c>
      <c r="J185" s="274" t="s">
        <v>67</v>
      </c>
      <c r="K185" s="275" t="s">
        <v>8</v>
      </c>
      <c r="L185" s="272"/>
      <c r="M185" s="272"/>
      <c r="N185" s="272"/>
      <c r="O185" s="276"/>
      <c r="P185" s="349"/>
      <c r="Q185" s="359" t="s">
        <v>164</v>
      </c>
      <c r="R185" s="349"/>
      <c r="S185" s="349" t="s">
        <v>8</v>
      </c>
    </row>
    <row r="186" spans="1:19" x14ac:dyDescent="0.35">
      <c r="A186" s="1434"/>
      <c r="B186" s="1125">
        <v>156</v>
      </c>
      <c r="C186" s="23">
        <v>70.099999999999994</v>
      </c>
      <c r="D186" s="24">
        <f t="shared" si="7"/>
        <v>754.5493899999999</v>
      </c>
      <c r="E186" s="272"/>
      <c r="F186" s="272"/>
      <c r="G186" s="272" t="s">
        <v>8</v>
      </c>
      <c r="H186" s="272"/>
      <c r="I186" s="273"/>
      <c r="J186" s="274" t="s">
        <v>67</v>
      </c>
      <c r="K186" s="275"/>
      <c r="L186" s="272" t="s">
        <v>8</v>
      </c>
      <c r="M186" s="272"/>
      <c r="N186" s="272"/>
      <c r="O186" s="276"/>
      <c r="P186" s="349"/>
      <c r="Q186" s="358" t="s">
        <v>166</v>
      </c>
      <c r="R186" s="351" t="s">
        <v>8</v>
      </c>
      <c r="S186" s="349"/>
    </row>
    <row r="187" spans="1:19" x14ac:dyDescent="0.35">
      <c r="A187" s="1434"/>
      <c r="B187" s="1125">
        <v>157</v>
      </c>
      <c r="C187" s="23">
        <v>49</v>
      </c>
      <c r="D187" s="24">
        <f t="shared" si="7"/>
        <v>527.43110000000001</v>
      </c>
      <c r="E187" s="272"/>
      <c r="F187" s="272"/>
      <c r="G187" s="272" t="s">
        <v>8</v>
      </c>
      <c r="H187" s="272"/>
      <c r="I187" s="273"/>
      <c r="J187" s="274" t="s">
        <v>65</v>
      </c>
      <c r="K187" s="275" t="s">
        <v>8</v>
      </c>
      <c r="L187" s="272"/>
      <c r="M187" s="272"/>
      <c r="N187" s="272"/>
      <c r="O187" s="276"/>
      <c r="P187" s="349"/>
      <c r="Q187" s="1110" t="s">
        <v>166</v>
      </c>
      <c r="R187" s="352" t="s">
        <v>8</v>
      </c>
      <c r="S187" s="351"/>
    </row>
    <row r="188" spans="1:19" x14ac:dyDescent="0.35">
      <c r="A188" s="1434"/>
      <c r="B188" s="1125">
        <v>158</v>
      </c>
      <c r="C188" s="23">
        <v>49</v>
      </c>
      <c r="D188" s="24">
        <f t="shared" si="7"/>
        <v>527.43110000000001</v>
      </c>
      <c r="E188" s="272"/>
      <c r="F188" s="272"/>
      <c r="G188" s="272"/>
      <c r="H188" s="272" t="s">
        <v>8</v>
      </c>
      <c r="I188" s="273"/>
      <c r="J188" s="274" t="s">
        <v>63</v>
      </c>
      <c r="K188" s="275" t="s">
        <v>8</v>
      </c>
      <c r="L188" s="272"/>
      <c r="M188" s="272"/>
      <c r="N188" s="272"/>
      <c r="O188" s="276"/>
      <c r="P188" s="349"/>
      <c r="Q188" s="1110" t="s">
        <v>166</v>
      </c>
      <c r="R188" s="352"/>
      <c r="S188" s="352" t="s">
        <v>8</v>
      </c>
    </row>
    <row r="189" spans="1:19" x14ac:dyDescent="0.35">
      <c r="A189" s="1434"/>
      <c r="B189" s="1125">
        <v>159</v>
      </c>
      <c r="C189" s="23">
        <v>85.2</v>
      </c>
      <c r="D189" s="24">
        <f t="shared" si="7"/>
        <v>917.08428000000004</v>
      </c>
      <c r="E189" s="272"/>
      <c r="F189" s="272"/>
      <c r="G189" s="272"/>
      <c r="H189" s="272" t="s">
        <v>8</v>
      </c>
      <c r="I189" s="273"/>
      <c r="J189" s="274" t="s">
        <v>63</v>
      </c>
      <c r="K189" s="275"/>
      <c r="L189" s="272" t="s">
        <v>8</v>
      </c>
      <c r="M189" s="272"/>
      <c r="N189" s="272"/>
      <c r="O189" s="276"/>
      <c r="P189" s="349"/>
      <c r="Q189" s="1110" t="s">
        <v>166</v>
      </c>
      <c r="R189" s="349"/>
      <c r="S189" s="352" t="s">
        <v>8</v>
      </c>
    </row>
    <row r="190" spans="1:19" x14ac:dyDescent="0.35">
      <c r="A190" s="1434"/>
      <c r="B190" s="1125">
        <v>160</v>
      </c>
      <c r="C190" s="23">
        <v>83.8</v>
      </c>
      <c r="D190" s="24">
        <f t="shared" si="7"/>
        <v>902.01481999999999</v>
      </c>
      <c r="E190" s="272"/>
      <c r="F190" s="272"/>
      <c r="G190" s="272" t="s">
        <v>8</v>
      </c>
      <c r="H190" s="272"/>
      <c r="I190" s="273"/>
      <c r="J190" s="274" t="s">
        <v>65</v>
      </c>
      <c r="K190" s="275"/>
      <c r="L190" s="272" t="s">
        <v>8</v>
      </c>
      <c r="M190" s="272"/>
      <c r="N190" s="272"/>
      <c r="O190" s="276"/>
      <c r="P190" s="349"/>
      <c r="Q190" s="1110" t="s">
        <v>166</v>
      </c>
      <c r="R190" s="351" t="s">
        <v>8</v>
      </c>
      <c r="S190" s="352"/>
    </row>
    <row r="191" spans="1:19" x14ac:dyDescent="0.35">
      <c r="A191" s="1434"/>
      <c r="B191" s="1125">
        <v>161</v>
      </c>
      <c r="C191" s="23">
        <v>79.599999999999994</v>
      </c>
      <c r="D191" s="24">
        <f t="shared" si="7"/>
        <v>856.80643999999995</v>
      </c>
      <c r="E191" s="272"/>
      <c r="F191" s="272"/>
      <c r="G191" s="272" t="s">
        <v>8</v>
      </c>
      <c r="H191" s="272"/>
      <c r="I191" s="273"/>
      <c r="J191" s="274" t="s">
        <v>159</v>
      </c>
      <c r="K191" s="275"/>
      <c r="L191" s="272" t="s">
        <v>8</v>
      </c>
      <c r="M191" s="272"/>
      <c r="N191" s="272"/>
      <c r="O191" s="276"/>
      <c r="P191" s="349"/>
      <c r="Q191" s="1110" t="s">
        <v>166</v>
      </c>
      <c r="R191" s="352" t="s">
        <v>8</v>
      </c>
      <c r="S191" s="352"/>
    </row>
    <row r="192" spans="1:19" x14ac:dyDescent="0.35">
      <c r="A192" s="1434"/>
      <c r="B192" s="1125">
        <v>162</v>
      </c>
      <c r="C192" s="23">
        <v>79.599999999999994</v>
      </c>
      <c r="D192" s="24">
        <f t="shared" si="7"/>
        <v>856.80643999999995</v>
      </c>
      <c r="E192" s="272"/>
      <c r="F192" s="272"/>
      <c r="G192" s="272"/>
      <c r="H192" s="272" t="s">
        <v>8</v>
      </c>
      <c r="I192" s="273"/>
      <c r="J192" s="274" t="s">
        <v>63</v>
      </c>
      <c r="K192" s="275"/>
      <c r="L192" s="272" t="s">
        <v>8</v>
      </c>
      <c r="M192" s="272"/>
      <c r="N192" s="272"/>
      <c r="O192" s="276"/>
      <c r="P192" s="349"/>
      <c r="Q192" s="1110" t="s">
        <v>166</v>
      </c>
      <c r="R192" s="352"/>
      <c r="S192" s="352" t="s">
        <v>8</v>
      </c>
    </row>
    <row r="193" spans="1:19" x14ac:dyDescent="0.35">
      <c r="A193" s="1435"/>
      <c r="B193" s="1125">
        <v>163</v>
      </c>
      <c r="C193" s="23">
        <v>80</v>
      </c>
      <c r="D193" s="24">
        <f t="shared" si="7"/>
        <v>861.11199999999997</v>
      </c>
      <c r="E193" s="272"/>
      <c r="F193" s="272"/>
      <c r="G193" s="272"/>
      <c r="H193" s="272" t="s">
        <v>8</v>
      </c>
      <c r="I193" s="273"/>
      <c r="J193" s="274" t="s">
        <v>63</v>
      </c>
      <c r="K193" s="275"/>
      <c r="L193" s="272" t="s">
        <v>8</v>
      </c>
      <c r="M193" s="272"/>
      <c r="N193" s="272"/>
      <c r="O193" s="276"/>
      <c r="P193" s="349" t="s">
        <v>8</v>
      </c>
      <c r="Q193" s="1110" t="s">
        <v>166</v>
      </c>
      <c r="R193" s="352"/>
      <c r="S193" s="352" t="s">
        <v>8</v>
      </c>
    </row>
    <row r="194" spans="1:19" x14ac:dyDescent="0.35">
      <c r="A194" s="1434" t="s">
        <v>26</v>
      </c>
      <c r="B194" s="1125">
        <v>164</v>
      </c>
      <c r="C194" s="23">
        <v>80</v>
      </c>
      <c r="D194" s="24">
        <f t="shared" si="7"/>
        <v>861.11199999999997</v>
      </c>
      <c r="E194" s="272"/>
      <c r="F194" s="272"/>
      <c r="G194" s="272" t="s">
        <v>8</v>
      </c>
      <c r="H194" s="272"/>
      <c r="I194" s="273"/>
      <c r="J194" s="274" t="s">
        <v>65</v>
      </c>
      <c r="K194" s="275"/>
      <c r="L194" s="272" t="s">
        <v>8</v>
      </c>
      <c r="M194" s="272"/>
      <c r="N194" s="272"/>
      <c r="O194" s="276"/>
      <c r="P194" s="349"/>
      <c r="Q194" s="359" t="s">
        <v>166</v>
      </c>
      <c r="R194" s="349" t="s">
        <v>8</v>
      </c>
      <c r="S194" s="349"/>
    </row>
    <row r="195" spans="1:19" x14ac:dyDescent="0.35">
      <c r="A195" s="1434"/>
      <c r="B195" s="1125">
        <v>165</v>
      </c>
      <c r="C195" s="23">
        <v>43.2</v>
      </c>
      <c r="D195" s="24">
        <f t="shared" si="7"/>
        <v>465.00048000000004</v>
      </c>
      <c r="E195" s="272"/>
      <c r="F195" s="272"/>
      <c r="G195" s="272" t="s">
        <v>8</v>
      </c>
      <c r="H195" s="272"/>
      <c r="I195" s="273"/>
      <c r="J195" s="274" t="s">
        <v>65</v>
      </c>
      <c r="K195" s="275" t="s">
        <v>8</v>
      </c>
      <c r="L195" s="272"/>
      <c r="M195" s="272"/>
      <c r="N195" s="272"/>
      <c r="O195" s="276"/>
      <c r="P195" s="349"/>
      <c r="Q195" s="359" t="s">
        <v>164</v>
      </c>
      <c r="R195" s="349" t="s">
        <v>8</v>
      </c>
      <c r="S195" s="349"/>
    </row>
    <row r="196" spans="1:19" x14ac:dyDescent="0.35">
      <c r="A196" s="1434"/>
      <c r="B196" s="1125">
        <v>166</v>
      </c>
      <c r="C196" s="23">
        <v>71.7</v>
      </c>
      <c r="D196" s="24">
        <f t="shared" si="7"/>
        <v>771.77162999999996</v>
      </c>
      <c r="E196" s="272"/>
      <c r="F196" s="272"/>
      <c r="G196" s="272"/>
      <c r="H196" s="272"/>
      <c r="I196" s="273" t="s">
        <v>8</v>
      </c>
      <c r="J196" s="274" t="s">
        <v>159</v>
      </c>
      <c r="K196" s="275"/>
      <c r="L196" s="272" t="s">
        <v>8</v>
      </c>
      <c r="M196" s="272"/>
      <c r="N196" s="272"/>
      <c r="O196" s="276"/>
      <c r="P196" s="349"/>
      <c r="Q196" s="359" t="s">
        <v>164</v>
      </c>
      <c r="R196" s="349" t="s">
        <v>8</v>
      </c>
      <c r="S196" s="349"/>
    </row>
    <row r="197" spans="1:19" x14ac:dyDescent="0.35">
      <c r="A197" s="1434"/>
      <c r="B197" s="1125">
        <v>167</v>
      </c>
      <c r="C197" s="23">
        <v>52.3</v>
      </c>
      <c r="D197" s="24">
        <f t="shared" ref="D197:D211" si="8">SUM(C197*10.7639)</f>
        <v>562.95196999999996</v>
      </c>
      <c r="E197" s="272"/>
      <c r="F197" s="272"/>
      <c r="G197" s="272"/>
      <c r="H197" s="272"/>
      <c r="I197" s="273" t="s">
        <v>8</v>
      </c>
      <c r="J197" s="274" t="s">
        <v>65</v>
      </c>
      <c r="K197" s="275" t="s">
        <v>8</v>
      </c>
      <c r="L197" s="272"/>
      <c r="M197" s="272"/>
      <c r="N197" s="272"/>
      <c r="O197" s="276"/>
      <c r="P197" s="351"/>
      <c r="Q197" s="359" t="s">
        <v>164</v>
      </c>
      <c r="R197" s="349"/>
      <c r="S197" s="349" t="s">
        <v>8</v>
      </c>
    </row>
    <row r="198" spans="1:19" x14ac:dyDescent="0.35">
      <c r="A198" s="1434"/>
      <c r="B198" s="1125">
        <v>168</v>
      </c>
      <c r="C198" s="23">
        <v>71.7</v>
      </c>
      <c r="D198" s="24">
        <f t="shared" si="8"/>
        <v>771.77162999999996</v>
      </c>
      <c r="E198" s="272"/>
      <c r="F198" s="272"/>
      <c r="G198" s="272"/>
      <c r="H198" s="272"/>
      <c r="I198" s="273" t="s">
        <v>8</v>
      </c>
      <c r="J198" s="274" t="s">
        <v>66</v>
      </c>
      <c r="K198" s="275"/>
      <c r="L198" s="272" t="s">
        <v>8</v>
      </c>
      <c r="M198" s="272"/>
      <c r="N198" s="272"/>
      <c r="O198" s="276"/>
      <c r="P198" s="349"/>
      <c r="Q198" s="359" t="s">
        <v>164</v>
      </c>
      <c r="R198" s="349"/>
      <c r="S198" s="349" t="s">
        <v>8</v>
      </c>
    </row>
    <row r="199" spans="1:19" x14ac:dyDescent="0.35">
      <c r="A199" s="1434"/>
      <c r="B199" s="1125">
        <v>169</v>
      </c>
      <c r="C199" s="23">
        <v>52.3</v>
      </c>
      <c r="D199" s="24">
        <f t="shared" si="8"/>
        <v>562.95196999999996</v>
      </c>
      <c r="E199" s="272"/>
      <c r="F199" s="272"/>
      <c r="G199" s="272"/>
      <c r="H199" s="272"/>
      <c r="I199" s="273" t="s">
        <v>8</v>
      </c>
      <c r="J199" s="274" t="s">
        <v>65</v>
      </c>
      <c r="K199" s="275" t="s">
        <v>8</v>
      </c>
      <c r="L199" s="272"/>
      <c r="M199" s="272"/>
      <c r="N199" s="272"/>
      <c r="O199" s="276"/>
      <c r="P199" s="349"/>
      <c r="Q199" s="359" t="s">
        <v>164</v>
      </c>
      <c r="R199" s="349"/>
      <c r="S199" s="349" t="s">
        <v>8</v>
      </c>
    </row>
    <row r="200" spans="1:19" x14ac:dyDescent="0.35">
      <c r="A200" s="1434"/>
      <c r="B200" s="1125">
        <v>170</v>
      </c>
      <c r="C200" s="23">
        <v>71.7</v>
      </c>
      <c r="D200" s="24">
        <f t="shared" si="8"/>
        <v>771.77162999999996</v>
      </c>
      <c r="E200" s="272"/>
      <c r="F200" s="272"/>
      <c r="G200" s="272"/>
      <c r="H200" s="272"/>
      <c r="I200" s="273" t="s">
        <v>8</v>
      </c>
      <c r="J200" s="274" t="s">
        <v>66</v>
      </c>
      <c r="K200" s="275"/>
      <c r="L200" s="272" t="s">
        <v>8</v>
      </c>
      <c r="M200" s="272"/>
      <c r="N200" s="272"/>
      <c r="O200" s="276"/>
      <c r="P200" s="349"/>
      <c r="Q200" s="359" t="s">
        <v>164</v>
      </c>
      <c r="R200" s="349"/>
      <c r="S200" s="349" t="s">
        <v>8</v>
      </c>
    </row>
    <row r="201" spans="1:19" x14ac:dyDescent="0.35">
      <c r="A201" s="1434"/>
      <c r="B201" s="1125">
        <v>171</v>
      </c>
      <c r="C201" s="23">
        <v>52.3</v>
      </c>
      <c r="D201" s="24">
        <f t="shared" si="8"/>
        <v>562.95196999999996</v>
      </c>
      <c r="E201" s="272"/>
      <c r="F201" s="272"/>
      <c r="G201" s="272"/>
      <c r="H201" s="272"/>
      <c r="I201" s="273" t="s">
        <v>8</v>
      </c>
      <c r="J201" s="274" t="s">
        <v>65</v>
      </c>
      <c r="K201" s="275" t="s">
        <v>8</v>
      </c>
      <c r="L201" s="272"/>
      <c r="M201" s="272"/>
      <c r="N201" s="272"/>
      <c r="O201" s="276"/>
      <c r="P201" s="349"/>
      <c r="Q201" s="359" t="s">
        <v>164</v>
      </c>
      <c r="R201" s="349"/>
      <c r="S201" s="349" t="s">
        <v>8</v>
      </c>
    </row>
    <row r="202" spans="1:19" x14ac:dyDescent="0.35">
      <c r="A202" s="1434"/>
      <c r="B202" s="1125">
        <v>172</v>
      </c>
      <c r="C202" s="23">
        <v>71.7</v>
      </c>
      <c r="D202" s="24">
        <f t="shared" si="8"/>
        <v>771.77162999999996</v>
      </c>
      <c r="E202" s="272"/>
      <c r="F202" s="272"/>
      <c r="G202" s="272"/>
      <c r="H202" s="272"/>
      <c r="I202" s="273" t="s">
        <v>8</v>
      </c>
      <c r="J202" s="274" t="s">
        <v>66</v>
      </c>
      <c r="K202" s="275"/>
      <c r="L202" s="272" t="s">
        <v>8</v>
      </c>
      <c r="M202" s="272"/>
      <c r="N202" s="272"/>
      <c r="O202" s="276"/>
      <c r="P202" s="350"/>
      <c r="Q202" s="359" t="s">
        <v>164</v>
      </c>
      <c r="R202" s="349"/>
      <c r="S202" s="349" t="s">
        <v>8</v>
      </c>
    </row>
    <row r="203" spans="1:19" x14ac:dyDescent="0.35">
      <c r="A203" s="1434"/>
      <c r="B203" s="1125">
        <v>173</v>
      </c>
      <c r="C203" s="23">
        <v>71.7</v>
      </c>
      <c r="D203" s="24">
        <f t="shared" si="8"/>
        <v>771.77162999999996</v>
      </c>
      <c r="E203" s="272"/>
      <c r="F203" s="272"/>
      <c r="G203" s="272"/>
      <c r="H203" s="272"/>
      <c r="I203" s="273" t="s">
        <v>8</v>
      </c>
      <c r="J203" s="274" t="s">
        <v>66</v>
      </c>
      <c r="K203" s="275"/>
      <c r="L203" s="272" t="s">
        <v>8</v>
      </c>
      <c r="M203" s="272"/>
      <c r="N203" s="272"/>
      <c r="O203" s="276"/>
      <c r="P203" s="351"/>
      <c r="Q203" s="359" t="s">
        <v>164</v>
      </c>
      <c r="R203" s="349"/>
      <c r="S203" s="349" t="s">
        <v>8</v>
      </c>
    </row>
    <row r="204" spans="1:19" x14ac:dyDescent="0.35">
      <c r="A204" s="1434"/>
      <c r="B204" s="1125">
        <v>174</v>
      </c>
      <c r="C204" s="23">
        <v>54.3</v>
      </c>
      <c r="D204" s="24">
        <f t="shared" si="8"/>
        <v>584.47976999999992</v>
      </c>
      <c r="E204" s="272"/>
      <c r="F204" s="272"/>
      <c r="G204" s="272" t="s">
        <v>8</v>
      </c>
      <c r="H204" s="272"/>
      <c r="I204" s="273"/>
      <c r="J204" s="274" t="s">
        <v>64</v>
      </c>
      <c r="K204" s="275" t="s">
        <v>8</v>
      </c>
      <c r="L204" s="272"/>
      <c r="M204" s="272"/>
      <c r="N204" s="272"/>
      <c r="O204" s="276"/>
      <c r="P204" s="349"/>
      <c r="Q204" s="359" t="s">
        <v>164</v>
      </c>
      <c r="R204" s="349" t="s">
        <v>8</v>
      </c>
      <c r="S204" s="349"/>
    </row>
    <row r="205" spans="1:19" x14ac:dyDescent="0.35">
      <c r="A205" s="1434"/>
      <c r="B205" s="1125">
        <v>175</v>
      </c>
      <c r="C205" s="23">
        <v>54.3</v>
      </c>
      <c r="D205" s="24">
        <f t="shared" si="8"/>
        <v>584.47976999999992</v>
      </c>
      <c r="E205" s="272"/>
      <c r="F205" s="272"/>
      <c r="G205" s="272"/>
      <c r="H205" s="272"/>
      <c r="I205" s="273" t="s">
        <v>8</v>
      </c>
      <c r="J205" s="274" t="s">
        <v>65</v>
      </c>
      <c r="K205" s="275" t="s">
        <v>8</v>
      </c>
      <c r="L205" s="272"/>
      <c r="M205" s="272"/>
      <c r="N205" s="272"/>
      <c r="O205" s="276"/>
      <c r="P205" s="349"/>
      <c r="Q205" s="359" t="s">
        <v>164</v>
      </c>
      <c r="R205" s="349"/>
      <c r="S205" s="349" t="s">
        <v>8</v>
      </c>
    </row>
    <row r="206" spans="1:19" x14ac:dyDescent="0.35">
      <c r="A206" s="1434"/>
      <c r="B206" s="1125">
        <v>176</v>
      </c>
      <c r="C206" s="23">
        <v>54.7</v>
      </c>
      <c r="D206" s="24">
        <f t="shared" si="8"/>
        <v>588.78533000000004</v>
      </c>
      <c r="E206" s="272"/>
      <c r="F206" s="272"/>
      <c r="G206" s="272"/>
      <c r="H206" s="272"/>
      <c r="I206" s="273" t="s">
        <v>8</v>
      </c>
      <c r="J206" s="274" t="s">
        <v>66</v>
      </c>
      <c r="K206" s="275" t="s">
        <v>8</v>
      </c>
      <c r="L206" s="272"/>
      <c r="M206" s="272"/>
      <c r="N206" s="272"/>
      <c r="O206" s="276"/>
      <c r="P206" s="349"/>
      <c r="Q206" s="359" t="s">
        <v>164</v>
      </c>
      <c r="R206" s="349"/>
      <c r="S206" s="349" t="s">
        <v>8</v>
      </c>
    </row>
    <row r="207" spans="1:19" x14ac:dyDescent="0.35">
      <c r="A207" s="1434"/>
      <c r="B207" s="1125">
        <v>177</v>
      </c>
      <c r="C207" s="23">
        <v>54.3</v>
      </c>
      <c r="D207" s="24">
        <f t="shared" si="8"/>
        <v>584.47976999999992</v>
      </c>
      <c r="E207" s="272"/>
      <c r="F207" s="272"/>
      <c r="G207" s="272"/>
      <c r="H207" s="272"/>
      <c r="I207" s="273" t="s">
        <v>8</v>
      </c>
      <c r="J207" s="274" t="s">
        <v>65</v>
      </c>
      <c r="K207" s="275" t="s">
        <v>8</v>
      </c>
      <c r="L207" s="272"/>
      <c r="M207" s="272"/>
      <c r="N207" s="272"/>
      <c r="O207" s="276"/>
      <c r="P207" s="349"/>
      <c r="Q207" s="359" t="s">
        <v>164</v>
      </c>
      <c r="R207" s="349"/>
      <c r="S207" s="349" t="s">
        <v>8</v>
      </c>
    </row>
    <row r="208" spans="1:19" x14ac:dyDescent="0.35">
      <c r="A208" s="1434"/>
      <c r="B208" s="1125">
        <v>178</v>
      </c>
      <c r="C208" s="23">
        <v>54.7</v>
      </c>
      <c r="D208" s="24">
        <f t="shared" si="8"/>
        <v>588.78533000000004</v>
      </c>
      <c r="E208" s="272"/>
      <c r="F208" s="272"/>
      <c r="G208" s="272"/>
      <c r="H208" s="272"/>
      <c r="I208" s="273" t="s">
        <v>8</v>
      </c>
      <c r="J208" s="274" t="s">
        <v>66</v>
      </c>
      <c r="K208" s="275" t="s">
        <v>8</v>
      </c>
      <c r="L208" s="272"/>
      <c r="M208" s="272"/>
      <c r="N208" s="272"/>
      <c r="O208" s="276"/>
      <c r="P208" s="349"/>
      <c r="Q208" s="359" t="s">
        <v>164</v>
      </c>
      <c r="R208" s="349"/>
      <c r="S208" s="349" t="s">
        <v>8</v>
      </c>
    </row>
    <row r="209" spans="1:19" x14ac:dyDescent="0.35">
      <c r="A209" s="1434"/>
      <c r="B209" s="1125">
        <v>179</v>
      </c>
      <c r="C209" s="23">
        <v>54.3</v>
      </c>
      <c r="D209" s="24">
        <f t="shared" si="8"/>
        <v>584.47976999999992</v>
      </c>
      <c r="E209" s="272"/>
      <c r="F209" s="272"/>
      <c r="G209" s="272"/>
      <c r="H209" s="272"/>
      <c r="I209" s="273" t="s">
        <v>8</v>
      </c>
      <c r="J209" s="274" t="s">
        <v>65</v>
      </c>
      <c r="K209" s="275" t="s">
        <v>8</v>
      </c>
      <c r="L209" s="272"/>
      <c r="M209" s="272"/>
      <c r="N209" s="272"/>
      <c r="O209" s="276"/>
      <c r="P209" s="349"/>
      <c r="Q209" s="359" t="s">
        <v>164</v>
      </c>
      <c r="R209" s="349"/>
      <c r="S209" s="349" t="s">
        <v>8</v>
      </c>
    </row>
    <row r="210" spans="1:19" x14ac:dyDescent="0.35">
      <c r="A210" s="1434"/>
      <c r="B210" s="1125">
        <v>180</v>
      </c>
      <c r="C210" s="23">
        <v>54.7</v>
      </c>
      <c r="D210" s="24">
        <f t="shared" si="8"/>
        <v>588.78533000000004</v>
      </c>
      <c r="E210" s="272"/>
      <c r="F210" s="272"/>
      <c r="G210" s="272"/>
      <c r="H210" s="272"/>
      <c r="I210" s="273" t="s">
        <v>8</v>
      </c>
      <c r="J210" s="274" t="s">
        <v>65</v>
      </c>
      <c r="K210" s="275" t="s">
        <v>8</v>
      </c>
      <c r="L210" s="272"/>
      <c r="M210" s="272"/>
      <c r="N210" s="272"/>
      <c r="O210" s="276"/>
      <c r="P210" s="349"/>
      <c r="Q210" s="359" t="s">
        <v>164</v>
      </c>
      <c r="R210" s="349"/>
      <c r="S210" s="349" t="s">
        <v>8</v>
      </c>
    </row>
    <row r="211" spans="1:19" x14ac:dyDescent="0.35">
      <c r="A211" s="1434"/>
      <c r="B211" s="1125">
        <v>181</v>
      </c>
      <c r="C211" s="23">
        <v>54.7</v>
      </c>
      <c r="D211" s="24">
        <f t="shared" si="8"/>
        <v>588.78533000000004</v>
      </c>
      <c r="E211" s="272"/>
      <c r="F211" s="272"/>
      <c r="G211" s="272"/>
      <c r="H211" s="272"/>
      <c r="I211" s="273" t="s">
        <v>8</v>
      </c>
      <c r="J211" s="274" t="s">
        <v>66</v>
      </c>
      <c r="K211" s="275" t="s">
        <v>8</v>
      </c>
      <c r="L211" s="272"/>
      <c r="M211" s="272"/>
      <c r="N211" s="272"/>
      <c r="O211" s="276"/>
      <c r="P211" s="349"/>
      <c r="Q211" s="359" t="s">
        <v>164</v>
      </c>
      <c r="R211" s="349"/>
      <c r="S211" s="349" t="s">
        <v>8</v>
      </c>
    </row>
    <row r="212" spans="1:19" x14ac:dyDescent="0.35">
      <c r="A212" s="1434"/>
      <c r="B212" s="1125">
        <v>182</v>
      </c>
      <c r="C212" s="23">
        <v>54.7</v>
      </c>
      <c r="D212" s="24">
        <f t="shared" ref="D212:D223" si="9">SUM(C212*10.7639)</f>
        <v>588.78533000000004</v>
      </c>
      <c r="E212" s="272"/>
      <c r="F212" s="272"/>
      <c r="G212" s="272" t="s">
        <v>8</v>
      </c>
      <c r="H212" s="272"/>
      <c r="I212" s="273"/>
      <c r="J212" s="274" t="s">
        <v>159</v>
      </c>
      <c r="K212" s="275" t="s">
        <v>8</v>
      </c>
      <c r="L212" s="272"/>
      <c r="M212" s="272"/>
      <c r="N212" s="272"/>
      <c r="O212" s="276"/>
      <c r="P212" s="351"/>
      <c r="Q212" s="359" t="s">
        <v>164</v>
      </c>
      <c r="R212" s="349" t="s">
        <v>8</v>
      </c>
      <c r="S212" s="349"/>
    </row>
    <row r="213" spans="1:19" ht="17.25" customHeight="1" x14ac:dyDescent="0.35">
      <c r="A213" s="1434"/>
      <c r="B213" s="1125">
        <v>183</v>
      </c>
      <c r="C213" s="23">
        <v>93.1</v>
      </c>
      <c r="D213" s="24">
        <f t="shared" si="9"/>
        <v>1002.1190899999999</v>
      </c>
      <c r="E213" s="272"/>
      <c r="F213" s="272"/>
      <c r="G213" s="272" t="s">
        <v>8</v>
      </c>
      <c r="H213" s="272"/>
      <c r="I213" s="273"/>
      <c r="J213" s="274" t="s">
        <v>65</v>
      </c>
      <c r="K213" s="275"/>
      <c r="L213" s="272"/>
      <c r="M213" s="272" t="s">
        <v>8</v>
      </c>
      <c r="N213" s="272"/>
      <c r="O213" s="276"/>
      <c r="P213" s="349"/>
      <c r="Q213" s="358" t="s">
        <v>166</v>
      </c>
      <c r="R213" s="351" t="s">
        <v>8</v>
      </c>
      <c r="S213" s="351"/>
    </row>
    <row r="214" spans="1:19" x14ac:dyDescent="0.35">
      <c r="A214" s="1434"/>
      <c r="B214" s="1125">
        <v>184</v>
      </c>
      <c r="C214" s="23">
        <v>49.9</v>
      </c>
      <c r="D214" s="24">
        <f t="shared" si="9"/>
        <v>537.11860999999999</v>
      </c>
      <c r="E214" s="272"/>
      <c r="F214" s="272"/>
      <c r="G214" s="272"/>
      <c r="H214" s="272"/>
      <c r="I214" s="273" t="s">
        <v>8</v>
      </c>
      <c r="J214" s="274" t="s">
        <v>65</v>
      </c>
      <c r="K214" s="275" t="s">
        <v>8</v>
      </c>
      <c r="L214" s="272"/>
      <c r="M214" s="272"/>
      <c r="N214" s="272"/>
      <c r="O214" s="276"/>
      <c r="P214" s="349"/>
      <c r="Q214" s="359" t="s">
        <v>164</v>
      </c>
      <c r="R214" s="349"/>
      <c r="S214" s="349" t="s">
        <v>8</v>
      </c>
    </row>
    <row r="215" spans="1:19" x14ac:dyDescent="0.35">
      <c r="A215" s="1434"/>
      <c r="B215" s="1125">
        <v>185</v>
      </c>
      <c r="C215" s="23">
        <v>51.7</v>
      </c>
      <c r="D215" s="24">
        <f t="shared" si="9"/>
        <v>556.49363000000005</v>
      </c>
      <c r="E215" s="272"/>
      <c r="F215" s="272"/>
      <c r="G215" s="272"/>
      <c r="H215" s="272"/>
      <c r="I215" s="273" t="s">
        <v>8</v>
      </c>
      <c r="J215" s="274" t="s">
        <v>65</v>
      </c>
      <c r="K215" s="275" t="s">
        <v>8</v>
      </c>
      <c r="L215" s="272"/>
      <c r="M215" s="272"/>
      <c r="N215" s="272"/>
      <c r="O215" s="276"/>
      <c r="P215" s="349"/>
      <c r="Q215" s="359" t="s">
        <v>164</v>
      </c>
      <c r="R215" s="349"/>
      <c r="S215" s="349" t="s">
        <v>8</v>
      </c>
    </row>
    <row r="216" spans="1:19" x14ac:dyDescent="0.35">
      <c r="A216" s="1434"/>
      <c r="B216" s="1125">
        <v>186</v>
      </c>
      <c r="C216" s="23">
        <v>50.2</v>
      </c>
      <c r="D216" s="24">
        <f t="shared" si="9"/>
        <v>540.34778000000006</v>
      </c>
      <c r="E216" s="272"/>
      <c r="F216" s="272"/>
      <c r="G216" s="272"/>
      <c r="H216" s="272"/>
      <c r="I216" s="273" t="s">
        <v>8</v>
      </c>
      <c r="J216" s="274" t="s">
        <v>65</v>
      </c>
      <c r="K216" s="275" t="s">
        <v>8</v>
      </c>
      <c r="L216" s="272"/>
      <c r="M216" s="272"/>
      <c r="N216" s="272"/>
      <c r="O216" s="276"/>
      <c r="P216" s="351"/>
      <c r="Q216" s="359" t="s">
        <v>164</v>
      </c>
      <c r="R216" s="349"/>
      <c r="S216" s="349" t="s">
        <v>8</v>
      </c>
    </row>
    <row r="217" spans="1:19" x14ac:dyDescent="0.35">
      <c r="A217" s="1434"/>
      <c r="B217" s="1125">
        <v>187</v>
      </c>
      <c r="C217" s="23">
        <v>53.6</v>
      </c>
      <c r="D217" s="24">
        <f t="shared" si="9"/>
        <v>576.94503999999995</v>
      </c>
      <c r="E217" s="272"/>
      <c r="F217" s="272"/>
      <c r="G217" s="272"/>
      <c r="H217" s="272"/>
      <c r="I217" s="273" t="s">
        <v>8</v>
      </c>
      <c r="J217" s="274" t="s">
        <v>66</v>
      </c>
      <c r="K217" s="275" t="s">
        <v>8</v>
      </c>
      <c r="L217" s="272"/>
      <c r="M217" s="272"/>
      <c r="N217" s="272"/>
      <c r="O217" s="276"/>
      <c r="P217" s="349"/>
      <c r="Q217" s="359" t="s">
        <v>164</v>
      </c>
      <c r="R217" s="349"/>
      <c r="S217" s="349" t="s">
        <v>8</v>
      </c>
    </row>
    <row r="218" spans="1:19" x14ac:dyDescent="0.35">
      <c r="A218" s="1434"/>
      <c r="B218" s="1125">
        <v>188</v>
      </c>
      <c r="C218" s="23">
        <v>50.1</v>
      </c>
      <c r="D218" s="24">
        <f t="shared" si="9"/>
        <v>539.27139</v>
      </c>
      <c r="E218" s="272"/>
      <c r="F218" s="272"/>
      <c r="G218" s="272"/>
      <c r="H218" s="272"/>
      <c r="I218" s="273" t="s">
        <v>8</v>
      </c>
      <c r="J218" s="274" t="s">
        <v>65</v>
      </c>
      <c r="K218" s="275" t="s">
        <v>8</v>
      </c>
      <c r="L218" s="272"/>
      <c r="M218" s="272"/>
      <c r="N218" s="272"/>
      <c r="O218" s="276"/>
      <c r="P218" s="350"/>
      <c r="Q218" s="359" t="s">
        <v>164</v>
      </c>
      <c r="R218" s="349"/>
      <c r="S218" s="349" t="s">
        <v>8</v>
      </c>
    </row>
    <row r="219" spans="1:19" x14ac:dyDescent="0.35">
      <c r="A219" s="1434"/>
      <c r="B219" s="1125">
        <v>189</v>
      </c>
      <c r="C219" s="23">
        <v>40.5</v>
      </c>
      <c r="D219" s="24">
        <f t="shared" si="9"/>
        <v>435.93795</v>
      </c>
      <c r="E219" s="272"/>
      <c r="F219" s="272"/>
      <c r="G219" s="272"/>
      <c r="H219" s="272"/>
      <c r="I219" s="273" t="s">
        <v>8</v>
      </c>
      <c r="J219" s="274" t="s">
        <v>65</v>
      </c>
      <c r="K219" s="275" t="s">
        <v>8</v>
      </c>
      <c r="L219" s="272"/>
      <c r="M219" s="272"/>
      <c r="N219" s="272"/>
      <c r="O219" s="276"/>
      <c r="P219" s="351"/>
      <c r="Q219" s="359" t="s">
        <v>164</v>
      </c>
      <c r="R219" s="349"/>
      <c r="S219" s="349" t="s">
        <v>8</v>
      </c>
    </row>
    <row r="220" spans="1:19" x14ac:dyDescent="0.35">
      <c r="A220" s="1434"/>
      <c r="B220" s="1125">
        <v>190</v>
      </c>
      <c r="C220" s="23">
        <v>40.5</v>
      </c>
      <c r="D220" s="24">
        <f t="shared" si="9"/>
        <v>435.93795</v>
      </c>
      <c r="E220" s="272"/>
      <c r="F220" s="272"/>
      <c r="G220" s="272"/>
      <c r="H220" s="272"/>
      <c r="I220" s="273" t="s">
        <v>8</v>
      </c>
      <c r="J220" s="274" t="s">
        <v>65</v>
      </c>
      <c r="K220" s="275" t="s">
        <v>8</v>
      </c>
      <c r="L220" s="272"/>
      <c r="M220" s="272"/>
      <c r="N220" s="272"/>
      <c r="O220" s="276"/>
      <c r="P220" s="349"/>
      <c r="Q220" s="359" t="s">
        <v>164</v>
      </c>
      <c r="R220" s="349"/>
      <c r="S220" s="349" t="s">
        <v>8</v>
      </c>
    </row>
    <row r="221" spans="1:19" x14ac:dyDescent="0.35">
      <c r="A221" s="1434"/>
      <c r="B221" s="1125">
        <v>191</v>
      </c>
      <c r="C221" s="23">
        <v>40.5</v>
      </c>
      <c r="D221" s="24">
        <f t="shared" si="9"/>
        <v>435.93795</v>
      </c>
      <c r="E221" s="272"/>
      <c r="F221" s="272"/>
      <c r="G221" s="272"/>
      <c r="H221" s="272"/>
      <c r="I221" s="273" t="s">
        <v>8</v>
      </c>
      <c r="J221" s="274" t="s">
        <v>65</v>
      </c>
      <c r="K221" s="275" t="s">
        <v>8</v>
      </c>
      <c r="L221" s="272"/>
      <c r="M221" s="272"/>
      <c r="N221" s="272"/>
      <c r="O221" s="276"/>
      <c r="P221" s="351"/>
      <c r="Q221" s="359" t="s">
        <v>164</v>
      </c>
      <c r="R221" s="349"/>
      <c r="S221" s="349" t="s">
        <v>8</v>
      </c>
    </row>
    <row r="222" spans="1:19" x14ac:dyDescent="0.35">
      <c r="A222" s="1434"/>
      <c r="B222" s="1125">
        <v>192</v>
      </c>
      <c r="C222" s="23">
        <v>40.5</v>
      </c>
      <c r="D222" s="24">
        <f t="shared" si="9"/>
        <v>435.93795</v>
      </c>
      <c r="E222" s="272"/>
      <c r="F222" s="272"/>
      <c r="G222" s="272"/>
      <c r="H222" s="272"/>
      <c r="I222" s="273" t="s">
        <v>8</v>
      </c>
      <c r="J222" s="274" t="s">
        <v>65</v>
      </c>
      <c r="K222" s="275" t="s">
        <v>8</v>
      </c>
      <c r="L222" s="272"/>
      <c r="M222" s="272"/>
      <c r="N222" s="272"/>
      <c r="O222" s="276"/>
      <c r="P222" s="349"/>
      <c r="Q222" s="359" t="s">
        <v>164</v>
      </c>
      <c r="R222" s="349"/>
      <c r="S222" s="349" t="s">
        <v>8</v>
      </c>
    </row>
    <row r="223" spans="1:19" x14ac:dyDescent="0.35">
      <c r="A223" s="1434"/>
      <c r="B223" s="1125">
        <v>193</v>
      </c>
      <c r="C223" s="23">
        <v>40.5</v>
      </c>
      <c r="D223" s="24">
        <f t="shared" si="9"/>
        <v>435.93795</v>
      </c>
      <c r="E223" s="272"/>
      <c r="F223" s="272"/>
      <c r="G223" s="272"/>
      <c r="H223" s="272"/>
      <c r="I223" s="273" t="s">
        <v>8</v>
      </c>
      <c r="J223" s="274" t="s">
        <v>65</v>
      </c>
      <c r="K223" s="275" t="s">
        <v>8</v>
      </c>
      <c r="L223" s="272"/>
      <c r="M223" s="272"/>
      <c r="N223" s="272"/>
      <c r="O223" s="276"/>
      <c r="P223" s="351"/>
      <c r="Q223" s="359" t="s">
        <v>164</v>
      </c>
      <c r="R223" s="349"/>
      <c r="S223" s="349" t="s">
        <v>8</v>
      </c>
    </row>
    <row r="224" spans="1:19" x14ac:dyDescent="0.35">
      <c r="A224" s="1434"/>
      <c r="B224" s="1125">
        <v>194</v>
      </c>
      <c r="C224" s="23">
        <v>73.5</v>
      </c>
      <c r="D224" s="24">
        <f>SUM(C224*10.7639)</f>
        <v>791.14665000000002</v>
      </c>
      <c r="E224" s="272"/>
      <c r="F224" s="272"/>
      <c r="G224" s="272"/>
      <c r="H224" s="272"/>
      <c r="I224" s="273" t="s">
        <v>8</v>
      </c>
      <c r="J224" s="274" t="s">
        <v>65</v>
      </c>
      <c r="K224" s="275"/>
      <c r="L224" s="272" t="s">
        <v>8</v>
      </c>
      <c r="M224" s="272"/>
      <c r="N224" s="272"/>
      <c r="O224" s="276"/>
      <c r="P224" s="349"/>
      <c r="Q224" s="359" t="s">
        <v>164</v>
      </c>
      <c r="R224" s="349"/>
      <c r="S224" s="349" t="s">
        <v>8</v>
      </c>
    </row>
    <row r="225" spans="1:19" x14ac:dyDescent="0.35">
      <c r="A225" s="1434"/>
      <c r="B225" s="1125">
        <v>195</v>
      </c>
      <c r="C225" s="23">
        <v>49.9</v>
      </c>
      <c r="D225" s="24">
        <f t="shared" ref="D225:D272" si="10">SUM(C225*10.7639)</f>
        <v>537.11860999999999</v>
      </c>
      <c r="E225" s="272"/>
      <c r="F225" s="272"/>
      <c r="G225" s="272"/>
      <c r="H225" s="272"/>
      <c r="I225" s="273" t="s">
        <v>8</v>
      </c>
      <c r="J225" s="274" t="s">
        <v>65</v>
      </c>
      <c r="K225" s="275" t="s">
        <v>8</v>
      </c>
      <c r="L225" s="272"/>
      <c r="M225" s="272"/>
      <c r="N225" s="272"/>
      <c r="O225" s="276"/>
      <c r="P225" s="350"/>
      <c r="Q225" s="359" t="s">
        <v>164</v>
      </c>
      <c r="R225" s="349"/>
      <c r="S225" s="349" t="s">
        <v>8</v>
      </c>
    </row>
    <row r="226" spans="1:19" x14ac:dyDescent="0.35">
      <c r="A226" s="1434"/>
      <c r="B226" s="1125">
        <v>196</v>
      </c>
      <c r="C226" s="23">
        <v>51.7</v>
      </c>
      <c r="D226" s="24">
        <f t="shared" si="10"/>
        <v>556.49363000000005</v>
      </c>
      <c r="E226" s="272"/>
      <c r="F226" s="272"/>
      <c r="G226" s="272"/>
      <c r="H226" s="272"/>
      <c r="I226" s="273" t="s">
        <v>8</v>
      </c>
      <c r="J226" s="274" t="s">
        <v>65</v>
      </c>
      <c r="K226" s="275" t="s">
        <v>8</v>
      </c>
      <c r="L226" s="272"/>
      <c r="M226" s="272"/>
      <c r="N226" s="272"/>
      <c r="O226" s="276"/>
      <c r="P226" s="350"/>
      <c r="Q226" s="359" t="s">
        <v>164</v>
      </c>
      <c r="R226" s="349"/>
      <c r="S226" s="349" t="s">
        <v>8</v>
      </c>
    </row>
    <row r="227" spans="1:19" x14ac:dyDescent="0.35">
      <c r="A227" s="1434"/>
      <c r="B227" s="1125">
        <v>197</v>
      </c>
      <c r="C227" s="23">
        <v>50.2</v>
      </c>
      <c r="D227" s="24">
        <f t="shared" si="10"/>
        <v>540.34778000000006</v>
      </c>
      <c r="E227" s="272"/>
      <c r="F227" s="272"/>
      <c r="G227" s="272"/>
      <c r="H227" s="272"/>
      <c r="I227" s="273" t="s">
        <v>8</v>
      </c>
      <c r="J227" s="274" t="s">
        <v>65</v>
      </c>
      <c r="K227" s="275" t="s">
        <v>8</v>
      </c>
      <c r="L227" s="272"/>
      <c r="M227" s="272"/>
      <c r="N227" s="272"/>
      <c r="O227" s="276"/>
      <c r="P227" s="351"/>
      <c r="Q227" s="359" t="s">
        <v>164</v>
      </c>
      <c r="R227" s="349"/>
      <c r="S227" s="349" t="s">
        <v>8</v>
      </c>
    </row>
    <row r="228" spans="1:19" x14ac:dyDescent="0.35">
      <c r="A228" s="1434"/>
      <c r="B228" s="1125">
        <v>198</v>
      </c>
      <c r="C228" s="23">
        <v>53.6</v>
      </c>
      <c r="D228" s="24">
        <f t="shared" si="10"/>
        <v>576.94503999999995</v>
      </c>
      <c r="E228" s="272"/>
      <c r="F228" s="272"/>
      <c r="G228" s="272"/>
      <c r="H228" s="272"/>
      <c r="I228" s="273" t="s">
        <v>8</v>
      </c>
      <c r="J228" s="274" t="s">
        <v>66</v>
      </c>
      <c r="K228" s="275" t="s">
        <v>8</v>
      </c>
      <c r="L228" s="272"/>
      <c r="M228" s="272"/>
      <c r="N228" s="272"/>
      <c r="O228" s="276"/>
      <c r="P228" s="349"/>
      <c r="Q228" s="359" t="s">
        <v>164</v>
      </c>
      <c r="R228" s="349"/>
      <c r="S228" s="349" t="s">
        <v>8</v>
      </c>
    </row>
    <row r="229" spans="1:19" x14ac:dyDescent="0.35">
      <c r="A229" s="1434"/>
      <c r="B229" s="1125">
        <v>199</v>
      </c>
      <c r="C229" s="23">
        <v>50.1</v>
      </c>
      <c r="D229" s="24">
        <f t="shared" si="10"/>
        <v>539.27139</v>
      </c>
      <c r="E229" s="272"/>
      <c r="F229" s="272"/>
      <c r="G229" s="272"/>
      <c r="H229" s="272"/>
      <c r="I229" s="273" t="s">
        <v>8</v>
      </c>
      <c r="J229" s="274" t="s">
        <v>65</v>
      </c>
      <c r="K229" s="275" t="s">
        <v>8</v>
      </c>
      <c r="L229" s="272"/>
      <c r="M229" s="272"/>
      <c r="N229" s="272"/>
      <c r="O229" s="276"/>
      <c r="P229" s="349"/>
      <c r="Q229" s="359" t="s">
        <v>164</v>
      </c>
      <c r="R229" s="349"/>
      <c r="S229" s="349" t="s">
        <v>8</v>
      </c>
    </row>
    <row r="230" spans="1:19" x14ac:dyDescent="0.35">
      <c r="A230" s="1434"/>
      <c r="B230" s="1125">
        <v>200</v>
      </c>
      <c r="C230" s="23">
        <v>81</v>
      </c>
      <c r="D230" s="24">
        <f t="shared" si="10"/>
        <v>871.8759</v>
      </c>
      <c r="E230" s="272"/>
      <c r="F230" s="272"/>
      <c r="G230" s="272"/>
      <c r="H230" s="272" t="s">
        <v>8</v>
      </c>
      <c r="I230" s="273"/>
      <c r="J230" s="274" t="s">
        <v>65</v>
      </c>
      <c r="K230" s="275"/>
      <c r="L230" s="272" t="s">
        <v>8</v>
      </c>
      <c r="M230" s="272"/>
      <c r="N230" s="272"/>
      <c r="O230" s="276"/>
      <c r="P230" s="352"/>
      <c r="Q230" s="358" t="s">
        <v>166</v>
      </c>
      <c r="R230" s="351"/>
      <c r="S230" s="349" t="s">
        <v>8</v>
      </c>
    </row>
    <row r="231" spans="1:19" x14ac:dyDescent="0.35">
      <c r="A231" s="1434"/>
      <c r="B231" s="1125">
        <v>201</v>
      </c>
      <c r="C231" s="23">
        <v>87.2</v>
      </c>
      <c r="D231" s="24">
        <f t="shared" si="10"/>
        <v>938.61207999999999</v>
      </c>
      <c r="E231" s="272"/>
      <c r="F231" s="272"/>
      <c r="G231" s="272"/>
      <c r="H231" s="272" t="s">
        <v>8</v>
      </c>
      <c r="I231" s="273"/>
      <c r="J231" s="274" t="s">
        <v>65</v>
      </c>
      <c r="K231" s="275"/>
      <c r="L231" s="272" t="s">
        <v>8</v>
      </c>
      <c r="M231" s="272"/>
      <c r="N231" s="272"/>
      <c r="O231" s="276"/>
      <c r="P231" s="349"/>
      <c r="Q231" s="1110" t="s">
        <v>166</v>
      </c>
      <c r="R231" s="351"/>
      <c r="S231" s="349" t="s">
        <v>8</v>
      </c>
    </row>
    <row r="232" spans="1:19" x14ac:dyDescent="0.35">
      <c r="A232" s="1434"/>
      <c r="B232" s="1125">
        <v>202</v>
      </c>
      <c r="C232" s="23">
        <v>81</v>
      </c>
      <c r="D232" s="24">
        <f t="shared" si="10"/>
        <v>871.8759</v>
      </c>
      <c r="E232" s="272"/>
      <c r="F232" s="272"/>
      <c r="G232" s="272"/>
      <c r="H232" s="272" t="s">
        <v>8</v>
      </c>
      <c r="I232" s="273"/>
      <c r="J232" s="274" t="s">
        <v>65</v>
      </c>
      <c r="K232" s="275"/>
      <c r="L232" s="272" t="s">
        <v>8</v>
      </c>
      <c r="M232" s="272"/>
      <c r="N232" s="272"/>
      <c r="O232" s="276"/>
      <c r="P232" s="352"/>
      <c r="Q232" s="359" t="s">
        <v>166</v>
      </c>
      <c r="R232" s="351"/>
      <c r="S232" s="349" t="s">
        <v>8</v>
      </c>
    </row>
    <row r="233" spans="1:19" x14ac:dyDescent="0.35">
      <c r="A233" s="1434"/>
      <c r="B233" s="1125">
        <v>203</v>
      </c>
      <c r="C233" s="23">
        <v>81</v>
      </c>
      <c r="D233" s="24">
        <f t="shared" si="10"/>
        <v>871.8759</v>
      </c>
      <c r="E233" s="272"/>
      <c r="F233" s="272"/>
      <c r="G233" s="272"/>
      <c r="H233" s="272" t="s">
        <v>8</v>
      </c>
      <c r="I233" s="273"/>
      <c r="J233" s="274" t="s">
        <v>65</v>
      </c>
      <c r="K233" s="275"/>
      <c r="L233" s="272" t="s">
        <v>8</v>
      </c>
      <c r="M233" s="272"/>
      <c r="N233" s="272"/>
      <c r="O233" s="276"/>
      <c r="P233" s="349"/>
      <c r="Q233" s="358" t="s">
        <v>166</v>
      </c>
      <c r="R233" s="351"/>
      <c r="S233" s="349" t="s">
        <v>8</v>
      </c>
    </row>
    <row r="234" spans="1:19" x14ac:dyDescent="0.35">
      <c r="A234" s="1434"/>
      <c r="B234" s="1125">
        <v>204</v>
      </c>
      <c r="C234" s="23">
        <v>81</v>
      </c>
      <c r="D234" s="24">
        <f t="shared" si="10"/>
        <v>871.8759</v>
      </c>
      <c r="E234" s="272"/>
      <c r="F234" s="272"/>
      <c r="G234" s="272"/>
      <c r="H234" s="272" t="s">
        <v>8</v>
      </c>
      <c r="I234" s="273"/>
      <c r="J234" s="274" t="s">
        <v>65</v>
      </c>
      <c r="K234" s="275"/>
      <c r="L234" s="272" t="s">
        <v>8</v>
      </c>
      <c r="M234" s="272"/>
      <c r="N234" s="272"/>
      <c r="O234" s="276"/>
      <c r="P234" s="349"/>
      <c r="Q234" s="359" t="s">
        <v>166</v>
      </c>
      <c r="R234" s="351"/>
      <c r="S234" s="349" t="s">
        <v>8</v>
      </c>
    </row>
    <row r="235" spans="1:19" x14ac:dyDescent="0.35">
      <c r="A235" s="1434"/>
      <c r="B235" s="1125">
        <v>205</v>
      </c>
      <c r="C235" s="23">
        <v>49.9</v>
      </c>
      <c r="D235" s="24">
        <f t="shared" si="10"/>
        <v>537.11860999999999</v>
      </c>
      <c r="E235" s="272"/>
      <c r="F235" s="272"/>
      <c r="G235" s="272"/>
      <c r="H235" s="272"/>
      <c r="I235" s="273" t="s">
        <v>8</v>
      </c>
      <c r="J235" s="274" t="s">
        <v>65</v>
      </c>
      <c r="K235" s="275" t="s">
        <v>8</v>
      </c>
      <c r="L235" s="272"/>
      <c r="M235" s="272"/>
      <c r="N235" s="272"/>
      <c r="O235" s="276"/>
      <c r="P235" s="351"/>
      <c r="Q235" s="359" t="s">
        <v>164</v>
      </c>
      <c r="R235" s="349"/>
      <c r="S235" s="349" t="s">
        <v>8</v>
      </c>
    </row>
    <row r="236" spans="1:19" x14ac:dyDescent="0.35">
      <c r="A236" s="1434"/>
      <c r="B236" s="1125">
        <v>206</v>
      </c>
      <c r="C236" s="23">
        <v>51.7</v>
      </c>
      <c r="D236" s="24">
        <f t="shared" si="10"/>
        <v>556.49363000000005</v>
      </c>
      <c r="E236" s="272"/>
      <c r="F236" s="272"/>
      <c r="G236" s="272"/>
      <c r="H236" s="272"/>
      <c r="I236" s="273" t="s">
        <v>8</v>
      </c>
      <c r="J236" s="274" t="s">
        <v>65</v>
      </c>
      <c r="K236" s="275" t="s">
        <v>8</v>
      </c>
      <c r="L236" s="272"/>
      <c r="M236" s="272"/>
      <c r="N236" s="272"/>
      <c r="O236" s="276"/>
      <c r="P236" s="349"/>
      <c r="Q236" s="359" t="s">
        <v>164</v>
      </c>
      <c r="R236" s="349"/>
      <c r="S236" s="349" t="s">
        <v>8</v>
      </c>
    </row>
    <row r="237" spans="1:19" x14ac:dyDescent="0.35">
      <c r="A237" s="1434"/>
      <c r="B237" s="1125">
        <v>207</v>
      </c>
      <c r="C237" s="23">
        <v>50.2</v>
      </c>
      <c r="D237" s="24">
        <f t="shared" si="10"/>
        <v>540.34778000000006</v>
      </c>
      <c r="E237" s="272"/>
      <c r="F237" s="272"/>
      <c r="G237" s="272"/>
      <c r="H237" s="272"/>
      <c r="I237" s="273" t="s">
        <v>8</v>
      </c>
      <c r="J237" s="274" t="s">
        <v>65</v>
      </c>
      <c r="K237" s="275" t="s">
        <v>8</v>
      </c>
      <c r="L237" s="272"/>
      <c r="M237" s="272"/>
      <c r="N237" s="272"/>
      <c r="O237" s="276"/>
      <c r="P237" s="350"/>
      <c r="Q237" s="359" t="s">
        <v>164</v>
      </c>
      <c r="R237" s="349"/>
      <c r="S237" s="349" t="s">
        <v>8</v>
      </c>
    </row>
    <row r="238" spans="1:19" x14ac:dyDescent="0.35">
      <c r="A238" s="1434"/>
      <c r="B238" s="1125">
        <v>208</v>
      </c>
      <c r="C238" s="23">
        <v>53.6</v>
      </c>
      <c r="D238" s="24">
        <f t="shared" si="10"/>
        <v>576.94503999999995</v>
      </c>
      <c r="E238" s="272"/>
      <c r="F238" s="272"/>
      <c r="G238" s="272"/>
      <c r="H238" s="272"/>
      <c r="I238" s="273" t="s">
        <v>8</v>
      </c>
      <c r="J238" s="274" t="s">
        <v>65</v>
      </c>
      <c r="K238" s="275" t="s">
        <v>8</v>
      </c>
      <c r="L238" s="272"/>
      <c r="M238" s="272"/>
      <c r="N238" s="272"/>
      <c r="O238" s="276"/>
      <c r="P238" s="351"/>
      <c r="Q238" s="359" t="s">
        <v>164</v>
      </c>
      <c r="R238" s="349"/>
      <c r="S238" s="349" t="s">
        <v>8</v>
      </c>
    </row>
    <row r="239" spans="1:19" x14ac:dyDescent="0.35">
      <c r="A239" s="1434"/>
      <c r="B239" s="1125">
        <v>209</v>
      </c>
      <c r="C239" s="23">
        <v>50.1</v>
      </c>
      <c r="D239" s="24">
        <f t="shared" si="10"/>
        <v>539.27139</v>
      </c>
      <c r="E239" s="272"/>
      <c r="F239" s="272"/>
      <c r="G239" s="272"/>
      <c r="H239" s="272"/>
      <c r="I239" s="273" t="s">
        <v>8</v>
      </c>
      <c r="J239" s="274" t="s">
        <v>65</v>
      </c>
      <c r="K239" s="275" t="s">
        <v>8</v>
      </c>
      <c r="L239" s="272"/>
      <c r="M239" s="272"/>
      <c r="N239" s="272"/>
      <c r="O239" s="276"/>
      <c r="P239" s="349"/>
      <c r="Q239" s="359" t="s">
        <v>164</v>
      </c>
      <c r="R239" s="349"/>
      <c r="S239" s="349" t="s">
        <v>8</v>
      </c>
    </row>
    <row r="240" spans="1:19" x14ac:dyDescent="0.35">
      <c r="A240" s="1434"/>
      <c r="B240" s="1125">
        <v>210</v>
      </c>
      <c r="C240" s="23">
        <v>49.9</v>
      </c>
      <c r="D240" s="24">
        <f t="shared" si="10"/>
        <v>537.11860999999999</v>
      </c>
      <c r="E240" s="272"/>
      <c r="F240" s="272"/>
      <c r="G240" s="272"/>
      <c r="H240" s="272"/>
      <c r="I240" s="273" t="s">
        <v>8</v>
      </c>
      <c r="J240" s="274" t="s">
        <v>65</v>
      </c>
      <c r="K240" s="275" t="s">
        <v>8</v>
      </c>
      <c r="L240" s="272"/>
      <c r="M240" s="272"/>
      <c r="N240" s="272"/>
      <c r="O240" s="276"/>
      <c r="P240" s="349"/>
      <c r="Q240" s="359" t="s">
        <v>164</v>
      </c>
      <c r="R240" s="349"/>
      <c r="S240" s="349" t="s">
        <v>8</v>
      </c>
    </row>
    <row r="241" spans="1:19" x14ac:dyDescent="0.35">
      <c r="A241" s="1434"/>
      <c r="B241" s="1125">
        <v>211</v>
      </c>
      <c r="C241" s="23">
        <v>51.7</v>
      </c>
      <c r="D241" s="24">
        <f t="shared" si="10"/>
        <v>556.49363000000005</v>
      </c>
      <c r="E241" s="272"/>
      <c r="F241" s="272"/>
      <c r="G241" s="272"/>
      <c r="H241" s="272"/>
      <c r="I241" s="273" t="s">
        <v>8</v>
      </c>
      <c r="J241" s="274" t="s">
        <v>65</v>
      </c>
      <c r="K241" s="275" t="s">
        <v>8</v>
      </c>
      <c r="L241" s="272"/>
      <c r="M241" s="272"/>
      <c r="N241" s="272"/>
      <c r="O241" s="276"/>
      <c r="P241" s="349"/>
      <c r="Q241" s="359" t="s">
        <v>164</v>
      </c>
      <c r="R241" s="349"/>
      <c r="S241" s="349" t="s">
        <v>8</v>
      </c>
    </row>
    <row r="242" spans="1:19" x14ac:dyDescent="0.35">
      <c r="A242" s="1434"/>
      <c r="B242" s="1125">
        <v>212</v>
      </c>
      <c r="C242" s="23">
        <v>50.2</v>
      </c>
      <c r="D242" s="24">
        <f t="shared" si="10"/>
        <v>540.34778000000006</v>
      </c>
      <c r="E242" s="272"/>
      <c r="F242" s="272"/>
      <c r="G242" s="272"/>
      <c r="H242" s="272"/>
      <c r="I242" s="273" t="s">
        <v>8</v>
      </c>
      <c r="J242" s="274" t="s">
        <v>65</v>
      </c>
      <c r="K242" s="275" t="s">
        <v>8</v>
      </c>
      <c r="L242" s="272"/>
      <c r="M242" s="272"/>
      <c r="N242" s="272"/>
      <c r="O242" s="276"/>
      <c r="P242" s="349"/>
      <c r="Q242" s="359" t="s">
        <v>164</v>
      </c>
      <c r="R242" s="349"/>
      <c r="S242" s="349" t="s">
        <v>8</v>
      </c>
    </row>
    <row r="243" spans="1:19" x14ac:dyDescent="0.35">
      <c r="A243" s="1434"/>
      <c r="B243" s="1125" t="s">
        <v>113</v>
      </c>
      <c r="C243" s="23">
        <v>53.6</v>
      </c>
      <c r="D243" s="24">
        <f t="shared" si="10"/>
        <v>576.94503999999995</v>
      </c>
      <c r="E243" s="272"/>
      <c r="F243" s="272"/>
      <c r="G243" s="272"/>
      <c r="H243" s="272"/>
      <c r="I243" s="273" t="s">
        <v>8</v>
      </c>
      <c r="J243" s="274" t="s">
        <v>65</v>
      </c>
      <c r="K243" s="275" t="s">
        <v>8</v>
      </c>
      <c r="L243" s="272"/>
      <c r="M243" s="272"/>
      <c r="N243" s="272"/>
      <c r="O243" s="276"/>
      <c r="P243" s="350"/>
      <c r="Q243" s="359" t="s">
        <v>164</v>
      </c>
      <c r="R243" s="349"/>
      <c r="S243" s="349" t="s">
        <v>8</v>
      </c>
    </row>
    <row r="244" spans="1:19" x14ac:dyDescent="0.35">
      <c r="A244" s="1434"/>
      <c r="B244" s="1125">
        <v>213</v>
      </c>
      <c r="C244" s="23">
        <v>49.9</v>
      </c>
      <c r="D244" s="24">
        <f t="shared" si="10"/>
        <v>537.11860999999999</v>
      </c>
      <c r="E244" s="272"/>
      <c r="F244" s="272"/>
      <c r="G244" s="272"/>
      <c r="H244" s="272"/>
      <c r="I244" s="273" t="s">
        <v>8</v>
      </c>
      <c r="J244" s="274" t="s">
        <v>65</v>
      </c>
      <c r="K244" s="275" t="s">
        <v>8</v>
      </c>
      <c r="L244" s="272"/>
      <c r="M244" s="272"/>
      <c r="N244" s="272"/>
      <c r="O244" s="276"/>
      <c r="P244" s="351"/>
      <c r="Q244" s="359" t="s">
        <v>164</v>
      </c>
      <c r="R244" s="349"/>
      <c r="S244" s="349" t="s">
        <v>8</v>
      </c>
    </row>
    <row r="245" spans="1:19" x14ac:dyDescent="0.35">
      <c r="A245" s="1434"/>
      <c r="B245" s="1125">
        <v>214</v>
      </c>
      <c r="C245" s="23">
        <v>51.7</v>
      </c>
      <c r="D245" s="24">
        <f t="shared" si="10"/>
        <v>556.49363000000005</v>
      </c>
      <c r="E245" s="272"/>
      <c r="F245" s="272"/>
      <c r="G245" s="272"/>
      <c r="H245" s="272"/>
      <c r="I245" s="273" t="s">
        <v>8</v>
      </c>
      <c r="J245" s="274" t="s">
        <v>65</v>
      </c>
      <c r="K245" s="275" t="s">
        <v>8</v>
      </c>
      <c r="L245" s="272"/>
      <c r="M245" s="272"/>
      <c r="N245" s="272"/>
      <c r="O245" s="276"/>
      <c r="P245" s="349"/>
      <c r="Q245" s="359" t="s">
        <v>164</v>
      </c>
      <c r="R245" s="349"/>
      <c r="S245" s="349" t="s">
        <v>8</v>
      </c>
    </row>
    <row r="246" spans="1:19" x14ac:dyDescent="0.35">
      <c r="A246" s="1435"/>
      <c r="B246" s="1125">
        <v>215</v>
      </c>
      <c r="C246" s="23">
        <v>50.2</v>
      </c>
      <c r="D246" s="24">
        <f t="shared" si="10"/>
        <v>540.34778000000006</v>
      </c>
      <c r="E246" s="272"/>
      <c r="F246" s="272"/>
      <c r="G246" s="272"/>
      <c r="H246" s="272"/>
      <c r="I246" s="273" t="s">
        <v>8</v>
      </c>
      <c r="J246" s="274" t="s">
        <v>65</v>
      </c>
      <c r="K246" s="275" t="s">
        <v>8</v>
      </c>
      <c r="L246" s="272"/>
      <c r="M246" s="272"/>
      <c r="N246" s="272"/>
      <c r="O246" s="276"/>
      <c r="P246" s="349"/>
      <c r="Q246" s="359" t="s">
        <v>164</v>
      </c>
      <c r="R246" s="349"/>
      <c r="S246" s="349" t="s">
        <v>8</v>
      </c>
    </row>
    <row r="247" spans="1:19" x14ac:dyDescent="0.35">
      <c r="A247" s="1427" t="s">
        <v>122</v>
      </c>
      <c r="B247" s="1125">
        <v>216</v>
      </c>
      <c r="C247" s="23">
        <v>48.3</v>
      </c>
      <c r="D247" s="24">
        <f t="shared" si="10"/>
        <v>519.89636999999993</v>
      </c>
      <c r="E247" s="272"/>
      <c r="F247" s="272"/>
      <c r="G247" s="272"/>
      <c r="H247" s="272"/>
      <c r="I247" s="273" t="s">
        <v>8</v>
      </c>
      <c r="J247" s="274" t="s">
        <v>65</v>
      </c>
      <c r="K247" s="275" t="s">
        <v>8</v>
      </c>
      <c r="L247" s="272"/>
      <c r="M247" s="272"/>
      <c r="N247" s="272"/>
      <c r="O247" s="276"/>
      <c r="P247" s="349"/>
      <c r="Q247" s="359" t="s">
        <v>164</v>
      </c>
      <c r="R247" s="349"/>
      <c r="S247" s="349" t="s">
        <v>8</v>
      </c>
    </row>
    <row r="248" spans="1:19" ht="17.25" customHeight="1" x14ac:dyDescent="0.35">
      <c r="A248" s="1428"/>
      <c r="B248" s="1125">
        <v>217</v>
      </c>
      <c r="C248" s="23">
        <v>56.2</v>
      </c>
      <c r="D248" s="24">
        <f t="shared" si="10"/>
        <v>604.93118000000004</v>
      </c>
      <c r="E248" s="272"/>
      <c r="F248" s="272"/>
      <c r="G248" s="272"/>
      <c r="H248" s="272"/>
      <c r="I248" s="273" t="s">
        <v>8</v>
      </c>
      <c r="J248" s="274" t="s">
        <v>66</v>
      </c>
      <c r="K248" s="275" t="s">
        <v>8</v>
      </c>
      <c r="L248" s="272"/>
      <c r="M248" s="272"/>
      <c r="N248" s="272"/>
      <c r="O248" s="276"/>
      <c r="P248" s="349"/>
      <c r="Q248" s="359" t="s">
        <v>164</v>
      </c>
      <c r="R248" s="349"/>
      <c r="S248" s="349" t="s">
        <v>8</v>
      </c>
    </row>
    <row r="249" spans="1:19" x14ac:dyDescent="0.35">
      <c r="A249" s="1428"/>
      <c r="B249" s="1125">
        <v>218</v>
      </c>
      <c r="C249" s="23">
        <v>43.4</v>
      </c>
      <c r="D249" s="24">
        <f t="shared" si="10"/>
        <v>467.15325999999999</v>
      </c>
      <c r="E249" s="272"/>
      <c r="F249" s="272"/>
      <c r="G249" s="272"/>
      <c r="H249" s="272"/>
      <c r="I249" s="273" t="s">
        <v>8</v>
      </c>
      <c r="J249" s="274" t="s">
        <v>65</v>
      </c>
      <c r="K249" s="275" t="s">
        <v>8</v>
      </c>
      <c r="L249" s="272"/>
      <c r="M249" s="272"/>
      <c r="N249" s="272"/>
      <c r="O249" s="276"/>
      <c r="P249" s="350"/>
      <c r="Q249" s="359" t="s">
        <v>164</v>
      </c>
      <c r="R249" s="349"/>
      <c r="S249" s="349" t="s">
        <v>8</v>
      </c>
    </row>
    <row r="250" spans="1:19" x14ac:dyDescent="0.35">
      <c r="A250" s="1428"/>
      <c r="B250" s="1125">
        <v>219</v>
      </c>
      <c r="C250" s="23">
        <v>43.4</v>
      </c>
      <c r="D250" s="24">
        <f t="shared" si="10"/>
        <v>467.15325999999999</v>
      </c>
      <c r="E250" s="272"/>
      <c r="F250" s="272"/>
      <c r="G250" s="272"/>
      <c r="H250" s="272"/>
      <c r="I250" s="273" t="s">
        <v>8</v>
      </c>
      <c r="J250" s="274" t="s">
        <v>66</v>
      </c>
      <c r="K250" s="275" t="s">
        <v>8</v>
      </c>
      <c r="L250" s="272"/>
      <c r="M250" s="272"/>
      <c r="N250" s="272"/>
      <c r="O250" s="276"/>
      <c r="P250" s="351"/>
      <c r="Q250" s="359" t="s">
        <v>164</v>
      </c>
      <c r="R250" s="349"/>
      <c r="S250" s="349" t="s">
        <v>8</v>
      </c>
    </row>
    <row r="251" spans="1:19" x14ac:dyDescent="0.35">
      <c r="A251" s="1428"/>
      <c r="B251" s="1125">
        <v>220</v>
      </c>
      <c r="C251" s="23">
        <v>43.4</v>
      </c>
      <c r="D251" s="24">
        <f t="shared" si="10"/>
        <v>467.15325999999999</v>
      </c>
      <c r="E251" s="272"/>
      <c r="F251" s="272"/>
      <c r="G251" s="272"/>
      <c r="H251" s="272"/>
      <c r="I251" s="273" t="s">
        <v>8</v>
      </c>
      <c r="J251" s="274" t="s">
        <v>65</v>
      </c>
      <c r="K251" s="275" t="s">
        <v>8</v>
      </c>
      <c r="L251" s="272"/>
      <c r="M251" s="272"/>
      <c r="N251" s="272"/>
      <c r="O251" s="276"/>
      <c r="P251" s="349"/>
      <c r="Q251" s="359" t="s">
        <v>164</v>
      </c>
      <c r="R251" s="349"/>
      <c r="S251" s="349" t="s">
        <v>8</v>
      </c>
    </row>
    <row r="252" spans="1:19" x14ac:dyDescent="0.35">
      <c r="A252" s="1428"/>
      <c r="B252" s="1125">
        <v>221</v>
      </c>
      <c r="C252" s="23">
        <v>43.4</v>
      </c>
      <c r="D252" s="24">
        <f t="shared" si="10"/>
        <v>467.15325999999999</v>
      </c>
      <c r="E252" s="272"/>
      <c r="F252" s="272"/>
      <c r="G252" s="272"/>
      <c r="H252" s="272"/>
      <c r="I252" s="273" t="s">
        <v>8</v>
      </c>
      <c r="J252" s="274" t="s">
        <v>66</v>
      </c>
      <c r="K252" s="275" t="s">
        <v>8</v>
      </c>
      <c r="L252" s="272"/>
      <c r="M252" s="272"/>
      <c r="N252" s="272"/>
      <c r="O252" s="276"/>
      <c r="P252" s="349"/>
      <c r="Q252" s="359" t="s">
        <v>164</v>
      </c>
      <c r="R252" s="349"/>
      <c r="S252" s="349" t="s">
        <v>8</v>
      </c>
    </row>
    <row r="253" spans="1:19" x14ac:dyDescent="0.35">
      <c r="A253" s="1428"/>
      <c r="B253" s="1125">
        <v>222</v>
      </c>
      <c r="C253" s="23">
        <v>43.4</v>
      </c>
      <c r="D253" s="24">
        <f t="shared" si="10"/>
        <v>467.15325999999999</v>
      </c>
      <c r="E253" s="272"/>
      <c r="F253" s="272"/>
      <c r="G253" s="272"/>
      <c r="H253" s="272"/>
      <c r="I253" s="273" t="s">
        <v>8</v>
      </c>
      <c r="J253" s="274" t="s">
        <v>65</v>
      </c>
      <c r="K253" s="275" t="s">
        <v>8</v>
      </c>
      <c r="L253" s="272"/>
      <c r="M253" s="272"/>
      <c r="N253" s="272"/>
      <c r="O253" s="276"/>
      <c r="P253" s="349"/>
      <c r="Q253" s="359" t="s">
        <v>164</v>
      </c>
      <c r="R253" s="349"/>
      <c r="S253" s="349" t="s">
        <v>8</v>
      </c>
    </row>
    <row r="254" spans="1:19" x14ac:dyDescent="0.35">
      <c r="A254" s="1428"/>
      <c r="B254" s="1125">
        <v>223</v>
      </c>
      <c r="C254" s="23">
        <v>43.4</v>
      </c>
      <c r="D254" s="24">
        <f t="shared" si="10"/>
        <v>467.15325999999999</v>
      </c>
      <c r="E254" s="272"/>
      <c r="F254" s="272"/>
      <c r="G254" s="272"/>
      <c r="H254" s="272"/>
      <c r="I254" s="273" t="s">
        <v>8</v>
      </c>
      <c r="J254" s="274" t="s">
        <v>66</v>
      </c>
      <c r="K254" s="275" t="s">
        <v>8</v>
      </c>
      <c r="L254" s="272"/>
      <c r="M254" s="272"/>
      <c r="N254" s="272"/>
      <c r="O254" s="276"/>
      <c r="P254" s="349"/>
      <c r="Q254" s="359" t="s">
        <v>164</v>
      </c>
      <c r="R254" s="349"/>
      <c r="S254" s="349" t="s">
        <v>8</v>
      </c>
    </row>
    <row r="255" spans="1:19" x14ac:dyDescent="0.35">
      <c r="A255" s="1428"/>
      <c r="B255" s="1125">
        <v>224</v>
      </c>
      <c r="C255" s="23">
        <v>43.4</v>
      </c>
      <c r="D255" s="24">
        <f t="shared" si="10"/>
        <v>467.15325999999999</v>
      </c>
      <c r="E255" s="272"/>
      <c r="F255" s="272"/>
      <c r="G255" s="272"/>
      <c r="H255" s="272"/>
      <c r="I255" s="273" t="s">
        <v>8</v>
      </c>
      <c r="J255" s="274" t="s">
        <v>65</v>
      </c>
      <c r="K255" s="275" t="s">
        <v>8</v>
      </c>
      <c r="L255" s="272"/>
      <c r="M255" s="272"/>
      <c r="N255" s="272"/>
      <c r="O255" s="276"/>
      <c r="P255" s="349"/>
      <c r="Q255" s="359" t="s">
        <v>164</v>
      </c>
      <c r="R255" s="349"/>
      <c r="S255" s="349" t="s">
        <v>8</v>
      </c>
    </row>
    <row r="256" spans="1:19" x14ac:dyDescent="0.35">
      <c r="A256" s="1428"/>
      <c r="B256" s="1125">
        <v>225</v>
      </c>
      <c r="C256" s="23">
        <v>51.2</v>
      </c>
      <c r="D256" s="24">
        <f t="shared" si="10"/>
        <v>551.11167999999998</v>
      </c>
      <c r="E256" s="272"/>
      <c r="F256" s="272"/>
      <c r="G256" s="272"/>
      <c r="H256" s="272"/>
      <c r="I256" s="273" t="s">
        <v>8</v>
      </c>
      <c r="J256" s="274" t="s">
        <v>66</v>
      </c>
      <c r="K256" s="275" t="s">
        <v>8</v>
      </c>
      <c r="L256" s="272"/>
      <c r="M256" s="272"/>
      <c r="N256" s="272"/>
      <c r="O256" s="276"/>
      <c r="P256" s="349"/>
      <c r="Q256" s="359" t="s">
        <v>164</v>
      </c>
      <c r="R256" s="349"/>
      <c r="S256" s="349" t="s">
        <v>8</v>
      </c>
    </row>
    <row r="257" spans="1:19" x14ac:dyDescent="0.35">
      <c r="A257" s="1428"/>
      <c r="B257" s="1125">
        <v>226</v>
      </c>
      <c r="C257" s="23">
        <v>43.4</v>
      </c>
      <c r="D257" s="24">
        <f t="shared" si="10"/>
        <v>467.15325999999999</v>
      </c>
      <c r="E257" s="272"/>
      <c r="F257" s="272"/>
      <c r="G257" s="272"/>
      <c r="H257" s="272"/>
      <c r="I257" s="273" t="s">
        <v>8</v>
      </c>
      <c r="J257" s="274" t="s">
        <v>65</v>
      </c>
      <c r="K257" s="275" t="s">
        <v>8</v>
      </c>
      <c r="L257" s="272"/>
      <c r="M257" s="272"/>
      <c r="N257" s="272"/>
      <c r="O257" s="276"/>
      <c r="P257" s="349"/>
      <c r="Q257" s="359" t="s">
        <v>164</v>
      </c>
      <c r="R257" s="349"/>
      <c r="S257" s="349" t="s">
        <v>8</v>
      </c>
    </row>
    <row r="258" spans="1:19" x14ac:dyDescent="0.35">
      <c r="A258" s="1428"/>
      <c r="B258" s="1125">
        <v>227</v>
      </c>
      <c r="C258" s="23">
        <v>43.4</v>
      </c>
      <c r="D258" s="24">
        <f t="shared" si="10"/>
        <v>467.15325999999999</v>
      </c>
      <c r="E258" s="272"/>
      <c r="F258" s="272"/>
      <c r="G258" s="272"/>
      <c r="H258" s="272"/>
      <c r="I258" s="273" t="s">
        <v>8</v>
      </c>
      <c r="J258" s="274" t="s">
        <v>65</v>
      </c>
      <c r="K258" s="275" t="s">
        <v>8</v>
      </c>
      <c r="L258" s="272"/>
      <c r="M258" s="272"/>
      <c r="N258" s="272"/>
      <c r="O258" s="276"/>
      <c r="P258" s="349"/>
      <c r="Q258" s="359" t="s">
        <v>164</v>
      </c>
      <c r="R258" s="349"/>
      <c r="S258" s="349" t="s">
        <v>8</v>
      </c>
    </row>
    <row r="259" spans="1:19" x14ac:dyDescent="0.35">
      <c r="A259" s="1428"/>
      <c r="B259" s="1125">
        <v>228</v>
      </c>
      <c r="C259" s="23">
        <v>57.8</v>
      </c>
      <c r="D259" s="24">
        <f t="shared" si="10"/>
        <v>622.15341999999998</v>
      </c>
      <c r="E259" s="272"/>
      <c r="F259" s="272"/>
      <c r="G259" s="272"/>
      <c r="H259" s="272"/>
      <c r="I259" s="273" t="s">
        <v>8</v>
      </c>
      <c r="J259" s="274" t="s">
        <v>66</v>
      </c>
      <c r="K259" s="275" t="s">
        <v>8</v>
      </c>
      <c r="L259" s="272"/>
      <c r="M259" s="272"/>
      <c r="N259" s="272"/>
      <c r="O259" s="276"/>
      <c r="P259" s="349"/>
      <c r="Q259" s="359" t="s">
        <v>164</v>
      </c>
      <c r="R259" s="349"/>
      <c r="S259" s="349" t="s">
        <v>8</v>
      </c>
    </row>
    <row r="260" spans="1:19" x14ac:dyDescent="0.35">
      <c r="A260" s="1428"/>
      <c r="B260" s="1125">
        <v>229</v>
      </c>
      <c r="C260" s="23">
        <v>56.2</v>
      </c>
      <c r="D260" s="24">
        <f t="shared" si="10"/>
        <v>604.93118000000004</v>
      </c>
      <c r="E260" s="272"/>
      <c r="F260" s="272"/>
      <c r="G260" s="272"/>
      <c r="H260" s="272"/>
      <c r="I260" s="273" t="s">
        <v>8</v>
      </c>
      <c r="J260" s="274" t="s">
        <v>65</v>
      </c>
      <c r="K260" s="275" t="s">
        <v>8</v>
      </c>
      <c r="L260" s="272"/>
      <c r="M260" s="272"/>
      <c r="N260" s="272"/>
      <c r="O260" s="276"/>
      <c r="P260" s="349"/>
      <c r="Q260" s="359" t="s">
        <v>164</v>
      </c>
      <c r="R260" s="349"/>
      <c r="S260" s="349" t="s">
        <v>8</v>
      </c>
    </row>
    <row r="261" spans="1:19" x14ac:dyDescent="0.35">
      <c r="A261" s="1428"/>
      <c r="B261" s="1125">
        <v>230</v>
      </c>
      <c r="C261" s="23">
        <v>43.4</v>
      </c>
      <c r="D261" s="24">
        <f t="shared" si="10"/>
        <v>467.15325999999999</v>
      </c>
      <c r="E261" s="272"/>
      <c r="F261" s="272"/>
      <c r="G261" s="272"/>
      <c r="H261" s="272"/>
      <c r="I261" s="273" t="s">
        <v>8</v>
      </c>
      <c r="J261" s="274" t="s">
        <v>65</v>
      </c>
      <c r="K261" s="275" t="s">
        <v>8</v>
      </c>
      <c r="L261" s="272"/>
      <c r="M261" s="272"/>
      <c r="N261" s="272"/>
      <c r="O261" s="276"/>
      <c r="P261" s="349"/>
      <c r="Q261" s="359" t="s">
        <v>164</v>
      </c>
      <c r="R261" s="349"/>
      <c r="S261" s="349" t="s">
        <v>8</v>
      </c>
    </row>
    <row r="262" spans="1:19" x14ac:dyDescent="0.35">
      <c r="A262" s="1428"/>
      <c r="B262" s="1125">
        <v>231</v>
      </c>
      <c r="C262" s="23">
        <v>43.4</v>
      </c>
      <c r="D262" s="24">
        <f t="shared" si="10"/>
        <v>467.15325999999999</v>
      </c>
      <c r="E262" s="272"/>
      <c r="F262" s="272"/>
      <c r="G262" s="272"/>
      <c r="H262" s="272"/>
      <c r="I262" s="273" t="s">
        <v>8</v>
      </c>
      <c r="J262" s="274" t="s">
        <v>66</v>
      </c>
      <c r="K262" s="275" t="s">
        <v>8</v>
      </c>
      <c r="L262" s="272"/>
      <c r="M262" s="272"/>
      <c r="N262" s="272"/>
      <c r="O262" s="276"/>
      <c r="P262" s="350"/>
      <c r="Q262" s="359" t="s">
        <v>164</v>
      </c>
      <c r="R262" s="349"/>
      <c r="S262" s="349" t="s">
        <v>8</v>
      </c>
    </row>
    <row r="263" spans="1:19" x14ac:dyDescent="0.35">
      <c r="A263" s="1428"/>
      <c r="B263" s="1125">
        <v>232</v>
      </c>
      <c r="C263" s="23">
        <v>43.4</v>
      </c>
      <c r="D263" s="24">
        <f t="shared" si="10"/>
        <v>467.15325999999999</v>
      </c>
      <c r="E263" s="272"/>
      <c r="F263" s="272"/>
      <c r="G263" s="272"/>
      <c r="H263" s="272"/>
      <c r="I263" s="273" t="s">
        <v>8</v>
      </c>
      <c r="J263" s="274" t="s">
        <v>65</v>
      </c>
      <c r="K263" s="275" t="s">
        <v>8</v>
      </c>
      <c r="L263" s="272"/>
      <c r="M263" s="272"/>
      <c r="N263" s="272"/>
      <c r="O263" s="276"/>
      <c r="P263" s="351"/>
      <c r="Q263" s="359" t="s">
        <v>164</v>
      </c>
      <c r="R263" s="349"/>
      <c r="S263" s="349" t="s">
        <v>8</v>
      </c>
    </row>
    <row r="264" spans="1:19" x14ac:dyDescent="0.35">
      <c r="A264" s="1428"/>
      <c r="B264" s="1125">
        <v>233</v>
      </c>
      <c r="C264" s="23">
        <v>43.4</v>
      </c>
      <c r="D264" s="24">
        <f t="shared" si="10"/>
        <v>467.15325999999999</v>
      </c>
      <c r="E264" s="272"/>
      <c r="F264" s="272"/>
      <c r="G264" s="272"/>
      <c r="H264" s="272"/>
      <c r="I264" s="273" t="s">
        <v>8</v>
      </c>
      <c r="J264" s="274" t="s">
        <v>66</v>
      </c>
      <c r="K264" s="275" t="s">
        <v>8</v>
      </c>
      <c r="L264" s="272"/>
      <c r="M264" s="272"/>
      <c r="N264" s="272"/>
      <c r="O264" s="276"/>
      <c r="P264" s="349"/>
      <c r="Q264" s="359" t="s">
        <v>164</v>
      </c>
      <c r="R264" s="349"/>
      <c r="S264" s="349" t="s">
        <v>8</v>
      </c>
    </row>
    <row r="265" spans="1:19" x14ac:dyDescent="0.35">
      <c r="A265" s="1428"/>
      <c r="B265" s="1125">
        <v>234</v>
      </c>
      <c r="C265" s="23">
        <v>43.4</v>
      </c>
      <c r="D265" s="24">
        <f t="shared" si="10"/>
        <v>467.15325999999999</v>
      </c>
      <c r="E265" s="272"/>
      <c r="F265" s="272"/>
      <c r="G265" s="272"/>
      <c r="H265" s="272"/>
      <c r="I265" s="273" t="s">
        <v>8</v>
      </c>
      <c r="J265" s="274" t="s">
        <v>65</v>
      </c>
      <c r="K265" s="275" t="s">
        <v>8</v>
      </c>
      <c r="L265" s="272"/>
      <c r="M265" s="272"/>
      <c r="N265" s="272"/>
      <c r="O265" s="276"/>
      <c r="P265" s="351"/>
      <c r="Q265" s="359" t="s">
        <v>164</v>
      </c>
      <c r="R265" s="349"/>
      <c r="S265" s="349" t="s">
        <v>8</v>
      </c>
    </row>
    <row r="266" spans="1:19" x14ac:dyDescent="0.35">
      <c r="A266" s="1428"/>
      <c r="B266" s="1125">
        <v>235</v>
      </c>
      <c r="C266" s="23">
        <v>43.4</v>
      </c>
      <c r="D266" s="24">
        <f t="shared" si="10"/>
        <v>467.15325999999999</v>
      </c>
      <c r="E266" s="272"/>
      <c r="F266" s="272"/>
      <c r="G266" s="272"/>
      <c r="H266" s="272"/>
      <c r="I266" s="273" t="s">
        <v>8</v>
      </c>
      <c r="J266" s="274" t="s">
        <v>66</v>
      </c>
      <c r="K266" s="275" t="s">
        <v>8</v>
      </c>
      <c r="L266" s="272"/>
      <c r="M266" s="272"/>
      <c r="N266" s="272"/>
      <c r="O266" s="276"/>
      <c r="P266" s="349"/>
      <c r="Q266" s="359" t="s">
        <v>164</v>
      </c>
      <c r="R266" s="349"/>
      <c r="S266" s="349" t="s">
        <v>8</v>
      </c>
    </row>
    <row r="267" spans="1:19" x14ac:dyDescent="0.35">
      <c r="A267" s="1428"/>
      <c r="B267" s="1125">
        <v>236</v>
      </c>
      <c r="C267" s="23">
        <v>43.4</v>
      </c>
      <c r="D267" s="24">
        <f t="shared" si="10"/>
        <v>467.15325999999999</v>
      </c>
      <c r="E267" s="272"/>
      <c r="F267" s="272"/>
      <c r="G267" s="272"/>
      <c r="H267" s="272"/>
      <c r="I267" s="273" t="s">
        <v>8</v>
      </c>
      <c r="J267" s="274" t="s">
        <v>65</v>
      </c>
      <c r="K267" s="275" t="s">
        <v>8</v>
      </c>
      <c r="L267" s="272"/>
      <c r="M267" s="272"/>
      <c r="N267" s="272"/>
      <c r="O267" s="276"/>
      <c r="P267" s="351"/>
      <c r="Q267" s="359" t="s">
        <v>164</v>
      </c>
      <c r="R267" s="349"/>
      <c r="S267" s="349" t="s">
        <v>8</v>
      </c>
    </row>
    <row r="268" spans="1:19" x14ac:dyDescent="0.35">
      <c r="A268" s="1428"/>
      <c r="B268" s="1125">
        <v>237</v>
      </c>
      <c r="C268" s="23">
        <v>51.2</v>
      </c>
      <c r="D268" s="24">
        <f t="shared" si="10"/>
        <v>551.11167999999998</v>
      </c>
      <c r="E268" s="272"/>
      <c r="F268" s="272"/>
      <c r="G268" s="272"/>
      <c r="H268" s="272"/>
      <c r="I268" s="273" t="s">
        <v>8</v>
      </c>
      <c r="J268" s="274" t="s">
        <v>66</v>
      </c>
      <c r="K268" s="275" t="s">
        <v>8</v>
      </c>
      <c r="L268" s="272"/>
      <c r="M268" s="272"/>
      <c r="N268" s="272"/>
      <c r="O268" s="276"/>
      <c r="P268" s="349"/>
      <c r="Q268" s="359" t="s">
        <v>164</v>
      </c>
      <c r="R268" s="349"/>
      <c r="S268" s="349" t="s">
        <v>8</v>
      </c>
    </row>
    <row r="269" spans="1:19" x14ac:dyDescent="0.35">
      <c r="A269" s="1428"/>
      <c r="B269" s="1125">
        <v>238</v>
      </c>
      <c r="C269" s="23">
        <v>43.4</v>
      </c>
      <c r="D269" s="24">
        <f t="shared" si="10"/>
        <v>467.15325999999999</v>
      </c>
      <c r="E269" s="272"/>
      <c r="F269" s="272"/>
      <c r="G269" s="272"/>
      <c r="H269" s="272"/>
      <c r="I269" s="273" t="s">
        <v>8</v>
      </c>
      <c r="J269" s="274" t="s">
        <v>65</v>
      </c>
      <c r="K269" s="275" t="s">
        <v>8</v>
      </c>
      <c r="L269" s="272"/>
      <c r="M269" s="272"/>
      <c r="N269" s="272"/>
      <c r="O269" s="276"/>
      <c r="P269" s="349"/>
      <c r="Q269" s="359" t="s">
        <v>164</v>
      </c>
      <c r="R269" s="349"/>
      <c r="S269" s="349" t="s">
        <v>8</v>
      </c>
    </row>
    <row r="270" spans="1:19" x14ac:dyDescent="0.35">
      <c r="A270" s="1428"/>
      <c r="B270" s="1125">
        <v>239</v>
      </c>
      <c r="C270" s="23">
        <v>43.4</v>
      </c>
      <c r="D270" s="24">
        <f t="shared" si="10"/>
        <v>467.15325999999999</v>
      </c>
      <c r="E270" s="272"/>
      <c r="F270" s="272"/>
      <c r="G270" s="272"/>
      <c r="H270" s="272"/>
      <c r="I270" s="273" t="s">
        <v>8</v>
      </c>
      <c r="J270" s="274" t="s">
        <v>65</v>
      </c>
      <c r="K270" s="275" t="s">
        <v>8</v>
      </c>
      <c r="L270" s="272"/>
      <c r="M270" s="272"/>
      <c r="N270" s="272"/>
      <c r="O270" s="276"/>
      <c r="P270" s="349"/>
      <c r="Q270" s="359" t="s">
        <v>164</v>
      </c>
      <c r="R270" s="349"/>
      <c r="S270" s="349" t="s">
        <v>8</v>
      </c>
    </row>
    <row r="271" spans="1:19" x14ac:dyDescent="0.35">
      <c r="A271" s="1428"/>
      <c r="B271" s="1125">
        <v>240</v>
      </c>
      <c r="C271" s="23">
        <v>57.8</v>
      </c>
      <c r="D271" s="24">
        <f t="shared" si="10"/>
        <v>622.15341999999998</v>
      </c>
      <c r="E271" s="272"/>
      <c r="F271" s="272"/>
      <c r="G271" s="272"/>
      <c r="H271" s="272"/>
      <c r="I271" s="273" t="s">
        <v>8</v>
      </c>
      <c r="J271" s="274" t="s">
        <v>66</v>
      </c>
      <c r="K271" s="275" t="s">
        <v>8</v>
      </c>
      <c r="L271" s="272"/>
      <c r="M271" s="272"/>
      <c r="N271" s="272"/>
      <c r="O271" s="276"/>
      <c r="P271" s="351"/>
      <c r="Q271" s="359" t="s">
        <v>164</v>
      </c>
      <c r="R271" s="349"/>
      <c r="S271" s="349" t="s">
        <v>8</v>
      </c>
    </row>
    <row r="272" spans="1:19" x14ac:dyDescent="0.35">
      <c r="A272" s="1428"/>
      <c r="B272" s="1125">
        <v>241</v>
      </c>
      <c r="C272" s="23">
        <v>53.3</v>
      </c>
      <c r="D272" s="24">
        <f t="shared" si="10"/>
        <v>573.71587</v>
      </c>
      <c r="E272" s="272"/>
      <c r="F272" s="272"/>
      <c r="G272" s="272"/>
      <c r="H272" s="272"/>
      <c r="I272" s="273" t="s">
        <v>8</v>
      </c>
      <c r="J272" s="274" t="s">
        <v>65</v>
      </c>
      <c r="K272" s="275" t="s">
        <v>8</v>
      </c>
      <c r="L272" s="272"/>
      <c r="M272" s="272"/>
      <c r="N272" s="272"/>
      <c r="O272" s="276"/>
      <c r="P272" s="349"/>
      <c r="Q272" s="359" t="s">
        <v>164</v>
      </c>
      <c r="R272" s="349"/>
      <c r="S272" s="349" t="s">
        <v>8</v>
      </c>
    </row>
    <row r="273" spans="1:19" x14ac:dyDescent="0.35">
      <c r="A273" s="1428"/>
      <c r="B273" s="1125">
        <v>242</v>
      </c>
      <c r="C273" s="23">
        <v>43.4</v>
      </c>
      <c r="D273" s="24">
        <f t="shared" ref="D273:D339" si="11">SUM(C273*10.7639)</f>
        <v>467.15325999999999</v>
      </c>
      <c r="E273" s="272"/>
      <c r="F273" s="272"/>
      <c r="G273" s="272"/>
      <c r="H273" s="272"/>
      <c r="I273" s="273" t="s">
        <v>8</v>
      </c>
      <c r="J273" s="274" t="s">
        <v>65</v>
      </c>
      <c r="K273" s="275" t="s">
        <v>8</v>
      </c>
      <c r="L273" s="272"/>
      <c r="M273" s="272"/>
      <c r="N273" s="272"/>
      <c r="O273" s="276"/>
      <c r="P273" s="349"/>
      <c r="Q273" s="359" t="s">
        <v>164</v>
      </c>
      <c r="R273" s="349"/>
      <c r="S273" s="349" t="s">
        <v>8</v>
      </c>
    </row>
    <row r="274" spans="1:19" x14ac:dyDescent="0.35">
      <c r="A274" s="1428"/>
      <c r="B274" s="1125">
        <v>243</v>
      </c>
      <c r="C274" s="23">
        <v>43.4</v>
      </c>
      <c r="D274" s="24">
        <f t="shared" si="11"/>
        <v>467.15325999999999</v>
      </c>
      <c r="E274" s="272"/>
      <c r="F274" s="272"/>
      <c r="G274" s="272"/>
      <c r="H274" s="272"/>
      <c r="I274" s="273" t="s">
        <v>8</v>
      </c>
      <c r="J274" s="274" t="s">
        <v>66</v>
      </c>
      <c r="K274" s="275" t="s">
        <v>8</v>
      </c>
      <c r="L274" s="272"/>
      <c r="M274" s="272"/>
      <c r="N274" s="272"/>
      <c r="O274" s="276"/>
      <c r="P274" s="349"/>
      <c r="Q274" s="359" t="s">
        <v>164</v>
      </c>
      <c r="R274" s="349"/>
      <c r="S274" s="349" t="s">
        <v>8</v>
      </c>
    </row>
    <row r="275" spans="1:19" x14ac:dyDescent="0.35">
      <c r="A275" s="1428"/>
      <c r="B275" s="1125">
        <v>244</v>
      </c>
      <c r="C275" s="23">
        <v>43.4</v>
      </c>
      <c r="D275" s="24">
        <f t="shared" si="11"/>
        <v>467.15325999999999</v>
      </c>
      <c r="E275" s="272"/>
      <c r="F275" s="272"/>
      <c r="G275" s="272"/>
      <c r="H275" s="272"/>
      <c r="I275" s="273" t="s">
        <v>8</v>
      </c>
      <c r="J275" s="274" t="s">
        <v>65</v>
      </c>
      <c r="K275" s="275" t="s">
        <v>8</v>
      </c>
      <c r="L275" s="272"/>
      <c r="M275" s="272"/>
      <c r="N275" s="272"/>
      <c r="O275" s="276"/>
      <c r="P275" s="350"/>
      <c r="Q275" s="359" t="s">
        <v>164</v>
      </c>
      <c r="R275" s="349"/>
      <c r="S275" s="349" t="s">
        <v>8</v>
      </c>
    </row>
    <row r="276" spans="1:19" x14ac:dyDescent="0.35">
      <c r="A276" s="1428"/>
      <c r="B276" s="1125">
        <v>245</v>
      </c>
      <c r="C276" s="23">
        <v>43.4</v>
      </c>
      <c r="D276" s="24">
        <f t="shared" si="11"/>
        <v>467.15325999999999</v>
      </c>
      <c r="E276" s="272"/>
      <c r="F276" s="272"/>
      <c r="G276" s="272"/>
      <c r="H276" s="272"/>
      <c r="I276" s="273" t="s">
        <v>8</v>
      </c>
      <c r="J276" s="274" t="s">
        <v>66</v>
      </c>
      <c r="K276" s="275" t="s">
        <v>8</v>
      </c>
      <c r="L276" s="272"/>
      <c r="M276" s="272"/>
      <c r="N276" s="272"/>
      <c r="O276" s="276"/>
      <c r="P276" s="351"/>
      <c r="Q276" s="359" t="s">
        <v>164</v>
      </c>
      <c r="R276" s="349"/>
      <c r="S276" s="349" t="s">
        <v>8</v>
      </c>
    </row>
    <row r="277" spans="1:19" x14ac:dyDescent="0.35">
      <c r="A277" s="1428"/>
      <c r="B277" s="1125">
        <v>246</v>
      </c>
      <c r="C277" s="23">
        <v>43.4</v>
      </c>
      <c r="D277" s="24">
        <f t="shared" si="11"/>
        <v>467.15325999999999</v>
      </c>
      <c r="E277" s="272"/>
      <c r="F277" s="272"/>
      <c r="G277" s="272"/>
      <c r="H277" s="272"/>
      <c r="I277" s="273" t="s">
        <v>8</v>
      </c>
      <c r="J277" s="274" t="s">
        <v>65</v>
      </c>
      <c r="K277" s="275" t="s">
        <v>8</v>
      </c>
      <c r="L277" s="272"/>
      <c r="M277" s="272"/>
      <c r="N277" s="272"/>
      <c r="O277" s="276"/>
      <c r="P277" s="349"/>
      <c r="Q277" s="359" t="s">
        <v>164</v>
      </c>
      <c r="R277" s="349"/>
      <c r="S277" s="349" t="s">
        <v>8</v>
      </c>
    </row>
    <row r="278" spans="1:19" x14ac:dyDescent="0.35">
      <c r="A278" s="1428"/>
      <c r="B278" s="1125">
        <v>247</v>
      </c>
      <c r="C278" s="23">
        <v>43.4</v>
      </c>
      <c r="D278" s="24">
        <f t="shared" si="11"/>
        <v>467.15325999999999</v>
      </c>
      <c r="E278" s="272"/>
      <c r="F278" s="272"/>
      <c r="G278" s="272"/>
      <c r="H278" s="272"/>
      <c r="I278" s="273" t="s">
        <v>8</v>
      </c>
      <c r="J278" s="274" t="s">
        <v>66</v>
      </c>
      <c r="K278" s="275" t="s">
        <v>8</v>
      </c>
      <c r="L278" s="272"/>
      <c r="M278" s="272"/>
      <c r="N278" s="272"/>
      <c r="O278" s="276"/>
      <c r="P278" s="349"/>
      <c r="Q278" s="359" t="s">
        <v>164</v>
      </c>
      <c r="R278" s="349"/>
      <c r="S278" s="349" t="s">
        <v>8</v>
      </c>
    </row>
    <row r="279" spans="1:19" x14ac:dyDescent="0.35">
      <c r="A279" s="1428"/>
      <c r="B279" s="1125">
        <v>248</v>
      </c>
      <c r="C279" s="23">
        <v>43.4</v>
      </c>
      <c r="D279" s="24">
        <f t="shared" si="11"/>
        <v>467.15325999999999</v>
      </c>
      <c r="E279" s="272"/>
      <c r="F279" s="272"/>
      <c r="G279" s="272"/>
      <c r="H279" s="272"/>
      <c r="I279" s="273" t="s">
        <v>8</v>
      </c>
      <c r="J279" s="274" t="s">
        <v>65</v>
      </c>
      <c r="K279" s="275" t="s">
        <v>8</v>
      </c>
      <c r="L279" s="272"/>
      <c r="M279" s="272"/>
      <c r="N279" s="272"/>
      <c r="O279" s="276"/>
      <c r="P279" s="349"/>
      <c r="Q279" s="359" t="s">
        <v>164</v>
      </c>
      <c r="R279" s="349"/>
      <c r="S279" s="349" t="s">
        <v>8</v>
      </c>
    </row>
    <row r="280" spans="1:19" x14ac:dyDescent="0.35">
      <c r="A280" s="1428"/>
      <c r="B280" s="1125">
        <v>249</v>
      </c>
      <c r="C280" s="23">
        <v>51.2</v>
      </c>
      <c r="D280" s="24">
        <f t="shared" si="11"/>
        <v>551.11167999999998</v>
      </c>
      <c r="E280" s="272"/>
      <c r="F280" s="272"/>
      <c r="G280" s="272"/>
      <c r="H280" s="272"/>
      <c r="I280" s="273" t="s">
        <v>8</v>
      </c>
      <c r="J280" s="274" t="s">
        <v>66</v>
      </c>
      <c r="K280" s="275" t="s">
        <v>8</v>
      </c>
      <c r="L280" s="272"/>
      <c r="M280" s="272"/>
      <c r="N280" s="272"/>
      <c r="O280" s="276"/>
      <c r="P280" s="350"/>
      <c r="Q280" s="359" t="s">
        <v>164</v>
      </c>
      <c r="R280" s="349"/>
      <c r="S280" s="349" t="s">
        <v>8</v>
      </c>
    </row>
    <row r="281" spans="1:19" x14ac:dyDescent="0.35">
      <c r="A281" s="1428"/>
      <c r="B281" s="1125">
        <v>250</v>
      </c>
      <c r="C281" s="23">
        <v>43.4</v>
      </c>
      <c r="D281" s="24">
        <f t="shared" si="11"/>
        <v>467.15325999999999</v>
      </c>
      <c r="E281" s="272"/>
      <c r="F281" s="272"/>
      <c r="G281" s="272"/>
      <c r="H281" s="272"/>
      <c r="I281" s="273" t="s">
        <v>8</v>
      </c>
      <c r="J281" s="274" t="s">
        <v>65</v>
      </c>
      <c r="K281" s="275" t="s">
        <v>8</v>
      </c>
      <c r="L281" s="272"/>
      <c r="M281" s="272"/>
      <c r="N281" s="272"/>
      <c r="O281" s="276"/>
      <c r="P281" s="351"/>
      <c r="Q281" s="359" t="s">
        <v>164</v>
      </c>
      <c r="R281" s="349"/>
      <c r="S281" s="349" t="s">
        <v>8</v>
      </c>
    </row>
    <row r="282" spans="1:19" x14ac:dyDescent="0.35">
      <c r="A282" s="1428"/>
      <c r="B282" s="1125">
        <v>251</v>
      </c>
      <c r="C282" s="23">
        <v>43.4</v>
      </c>
      <c r="D282" s="24">
        <f t="shared" si="11"/>
        <v>467.15325999999999</v>
      </c>
      <c r="E282" s="272"/>
      <c r="F282" s="272"/>
      <c r="G282" s="272"/>
      <c r="H282" s="272"/>
      <c r="I282" s="273" t="s">
        <v>8</v>
      </c>
      <c r="J282" s="274" t="s">
        <v>65</v>
      </c>
      <c r="K282" s="275" t="s">
        <v>8</v>
      </c>
      <c r="L282" s="272"/>
      <c r="M282" s="272"/>
      <c r="N282" s="272"/>
      <c r="O282" s="276"/>
      <c r="P282" s="349"/>
      <c r="Q282" s="359" t="s">
        <v>164</v>
      </c>
      <c r="R282" s="349"/>
      <c r="S282" s="349" t="s">
        <v>8</v>
      </c>
    </row>
    <row r="283" spans="1:19" x14ac:dyDescent="0.35">
      <c r="A283" s="1428"/>
      <c r="B283" s="1125">
        <v>252</v>
      </c>
      <c r="C283" s="23">
        <v>57.8</v>
      </c>
      <c r="D283" s="24">
        <f>SUM(C283*10.7639)</f>
        <v>622.15341999999998</v>
      </c>
      <c r="E283" s="272"/>
      <c r="F283" s="272"/>
      <c r="G283" s="272"/>
      <c r="H283" s="272"/>
      <c r="I283" s="273" t="s">
        <v>8</v>
      </c>
      <c r="J283" s="274" t="s">
        <v>66</v>
      </c>
      <c r="K283" s="275" t="s">
        <v>8</v>
      </c>
      <c r="L283" s="272"/>
      <c r="M283" s="272"/>
      <c r="N283" s="272"/>
      <c r="O283" s="276"/>
      <c r="P283" s="349"/>
      <c r="Q283" s="359" t="s">
        <v>164</v>
      </c>
      <c r="R283" s="349"/>
      <c r="S283" s="349" t="s">
        <v>8</v>
      </c>
    </row>
    <row r="284" spans="1:19" x14ac:dyDescent="0.35">
      <c r="A284" s="1428"/>
      <c r="B284" s="1125">
        <v>253</v>
      </c>
      <c r="C284" s="23">
        <v>43.4</v>
      </c>
      <c r="D284" s="24">
        <f t="shared" si="11"/>
        <v>467.15325999999999</v>
      </c>
      <c r="E284" s="272"/>
      <c r="F284" s="272"/>
      <c r="G284" s="272"/>
      <c r="H284" s="272"/>
      <c r="I284" s="273" t="s">
        <v>8</v>
      </c>
      <c r="J284" s="274" t="s">
        <v>65</v>
      </c>
      <c r="K284" s="275" t="s">
        <v>8</v>
      </c>
      <c r="L284" s="272"/>
      <c r="M284" s="272"/>
      <c r="N284" s="272"/>
      <c r="O284" s="276"/>
      <c r="P284" s="350"/>
      <c r="Q284" s="359" t="s">
        <v>164</v>
      </c>
      <c r="R284" s="349"/>
      <c r="S284" s="349" t="s">
        <v>8</v>
      </c>
    </row>
    <row r="285" spans="1:19" x14ac:dyDescent="0.35">
      <c r="A285" s="1428"/>
      <c r="B285" s="1125">
        <v>254</v>
      </c>
      <c r="C285" s="23">
        <v>43.4</v>
      </c>
      <c r="D285" s="24">
        <f t="shared" si="11"/>
        <v>467.15325999999999</v>
      </c>
      <c r="E285" s="272"/>
      <c r="F285" s="272"/>
      <c r="G285" s="272"/>
      <c r="H285" s="272"/>
      <c r="I285" s="273" t="s">
        <v>8</v>
      </c>
      <c r="J285" s="274" t="s">
        <v>66</v>
      </c>
      <c r="K285" s="275" t="s">
        <v>8</v>
      </c>
      <c r="L285" s="272"/>
      <c r="M285" s="272"/>
      <c r="N285" s="272"/>
      <c r="O285" s="276"/>
      <c r="P285" s="351"/>
      <c r="Q285" s="359" t="s">
        <v>164</v>
      </c>
      <c r="R285" s="349"/>
      <c r="S285" s="349" t="s">
        <v>8</v>
      </c>
    </row>
    <row r="286" spans="1:19" x14ac:dyDescent="0.35">
      <c r="A286" s="1428"/>
      <c r="B286" s="1125">
        <v>255</v>
      </c>
      <c r="C286" s="23">
        <v>43.4</v>
      </c>
      <c r="D286" s="24">
        <f t="shared" si="11"/>
        <v>467.15325999999999</v>
      </c>
      <c r="E286" s="272"/>
      <c r="F286" s="272"/>
      <c r="G286" s="272"/>
      <c r="H286" s="272"/>
      <c r="I286" s="273" t="s">
        <v>8</v>
      </c>
      <c r="J286" s="274" t="s">
        <v>65</v>
      </c>
      <c r="K286" s="275" t="s">
        <v>8</v>
      </c>
      <c r="L286" s="272"/>
      <c r="M286" s="272"/>
      <c r="N286" s="272"/>
      <c r="O286" s="276"/>
      <c r="P286" s="349"/>
      <c r="Q286" s="359" t="s">
        <v>164</v>
      </c>
      <c r="R286" s="349"/>
      <c r="S286" s="349" t="s">
        <v>8</v>
      </c>
    </row>
    <row r="287" spans="1:19" x14ac:dyDescent="0.35">
      <c r="A287" s="1428"/>
      <c r="B287" s="1125">
        <v>256</v>
      </c>
      <c r="C287" s="23">
        <v>43.4</v>
      </c>
      <c r="D287" s="24">
        <f t="shared" si="11"/>
        <v>467.15325999999999</v>
      </c>
      <c r="E287" s="272"/>
      <c r="F287" s="272"/>
      <c r="G287" s="272"/>
      <c r="H287" s="272"/>
      <c r="I287" s="273" t="s">
        <v>8</v>
      </c>
      <c r="J287" s="274" t="s">
        <v>66</v>
      </c>
      <c r="K287" s="275" t="s">
        <v>8</v>
      </c>
      <c r="L287" s="272"/>
      <c r="M287" s="272"/>
      <c r="N287" s="272"/>
      <c r="O287" s="276"/>
      <c r="P287" s="349"/>
      <c r="Q287" s="359" t="s">
        <v>164</v>
      </c>
      <c r="R287" s="349"/>
      <c r="S287" s="349" t="s">
        <v>8</v>
      </c>
    </row>
    <row r="288" spans="1:19" x14ac:dyDescent="0.35">
      <c r="A288" s="1428"/>
      <c r="B288" s="1125">
        <v>257</v>
      </c>
      <c r="C288" s="23">
        <v>43.4</v>
      </c>
      <c r="D288" s="24">
        <f t="shared" si="11"/>
        <v>467.15325999999999</v>
      </c>
      <c r="E288" s="272"/>
      <c r="F288" s="272"/>
      <c r="G288" s="272"/>
      <c r="H288" s="272"/>
      <c r="I288" s="273" t="s">
        <v>8</v>
      </c>
      <c r="J288" s="274" t="s">
        <v>65</v>
      </c>
      <c r="K288" s="275" t="s">
        <v>8</v>
      </c>
      <c r="L288" s="272"/>
      <c r="M288" s="272"/>
      <c r="N288" s="272"/>
      <c r="O288" s="276"/>
      <c r="P288" s="349"/>
      <c r="Q288" s="359" t="s">
        <v>164</v>
      </c>
      <c r="R288" s="349"/>
      <c r="S288" s="349" t="s">
        <v>8</v>
      </c>
    </row>
    <row r="289" spans="1:19" x14ac:dyDescent="0.35">
      <c r="A289" s="1428"/>
      <c r="B289" s="1125">
        <v>258</v>
      </c>
      <c r="C289" s="23">
        <v>43.4</v>
      </c>
      <c r="D289" s="24">
        <f t="shared" si="11"/>
        <v>467.15325999999999</v>
      </c>
      <c r="E289" s="272"/>
      <c r="F289" s="272"/>
      <c r="G289" s="272"/>
      <c r="H289" s="272"/>
      <c r="I289" s="273" t="s">
        <v>8</v>
      </c>
      <c r="J289" s="274" t="s">
        <v>66</v>
      </c>
      <c r="K289" s="275" t="s">
        <v>8</v>
      </c>
      <c r="L289" s="272"/>
      <c r="M289" s="272"/>
      <c r="N289" s="272"/>
      <c r="O289" s="276"/>
      <c r="P289" s="349"/>
      <c r="Q289" s="359" t="s">
        <v>164</v>
      </c>
      <c r="R289" s="349"/>
      <c r="S289" s="349" t="s">
        <v>8</v>
      </c>
    </row>
    <row r="290" spans="1:19" x14ac:dyDescent="0.35">
      <c r="A290" s="1428"/>
      <c r="B290" s="1125">
        <v>259</v>
      </c>
      <c r="C290" s="23">
        <v>43.4</v>
      </c>
      <c r="D290" s="24">
        <f t="shared" si="11"/>
        <v>467.15325999999999</v>
      </c>
      <c r="E290" s="272"/>
      <c r="F290" s="272"/>
      <c r="G290" s="272"/>
      <c r="H290" s="272"/>
      <c r="I290" s="273" t="s">
        <v>8</v>
      </c>
      <c r="J290" s="274" t="s">
        <v>65</v>
      </c>
      <c r="K290" s="275" t="s">
        <v>8</v>
      </c>
      <c r="L290" s="272"/>
      <c r="M290" s="272"/>
      <c r="N290" s="272"/>
      <c r="O290" s="276"/>
      <c r="P290" s="350"/>
      <c r="Q290" s="359" t="s">
        <v>164</v>
      </c>
      <c r="R290" s="349"/>
      <c r="S290" s="349" t="s">
        <v>8</v>
      </c>
    </row>
    <row r="291" spans="1:19" x14ac:dyDescent="0.35">
      <c r="A291" s="1428"/>
      <c r="B291" s="1125">
        <v>260</v>
      </c>
      <c r="C291" s="23">
        <v>51.2</v>
      </c>
      <c r="D291" s="24">
        <f t="shared" si="11"/>
        <v>551.11167999999998</v>
      </c>
      <c r="E291" s="272"/>
      <c r="F291" s="272"/>
      <c r="G291" s="272"/>
      <c r="H291" s="272"/>
      <c r="I291" s="273" t="s">
        <v>8</v>
      </c>
      <c r="J291" s="274" t="s">
        <v>66</v>
      </c>
      <c r="K291" s="275" t="s">
        <v>8</v>
      </c>
      <c r="L291" s="272"/>
      <c r="M291" s="272"/>
      <c r="N291" s="272"/>
      <c r="O291" s="276"/>
      <c r="P291" s="350"/>
      <c r="Q291" s="359" t="s">
        <v>164</v>
      </c>
      <c r="R291" s="349"/>
      <c r="S291" s="349" t="s">
        <v>8</v>
      </c>
    </row>
    <row r="292" spans="1:19" x14ac:dyDescent="0.35">
      <c r="A292" s="1428"/>
      <c r="B292" s="1125">
        <v>261</v>
      </c>
      <c r="C292" s="23">
        <v>43.4</v>
      </c>
      <c r="D292" s="24">
        <f t="shared" si="11"/>
        <v>467.15325999999999</v>
      </c>
      <c r="E292" s="272"/>
      <c r="F292" s="272"/>
      <c r="G292" s="272"/>
      <c r="H292" s="272"/>
      <c r="I292" s="273" t="s">
        <v>8</v>
      </c>
      <c r="J292" s="274" t="s">
        <v>65</v>
      </c>
      <c r="K292" s="275" t="s">
        <v>8</v>
      </c>
      <c r="L292" s="272"/>
      <c r="M292" s="272"/>
      <c r="N292" s="272"/>
      <c r="O292" s="276"/>
      <c r="P292" s="351"/>
      <c r="Q292" s="359" t="s">
        <v>164</v>
      </c>
      <c r="R292" s="349"/>
      <c r="S292" s="349" t="s">
        <v>8</v>
      </c>
    </row>
    <row r="293" spans="1:19" x14ac:dyDescent="0.35">
      <c r="A293" s="1428"/>
      <c r="B293" s="1125">
        <v>262</v>
      </c>
      <c r="C293" s="23">
        <v>43.4</v>
      </c>
      <c r="D293" s="24">
        <f t="shared" si="11"/>
        <v>467.15325999999999</v>
      </c>
      <c r="E293" s="272"/>
      <c r="F293" s="272"/>
      <c r="G293" s="272"/>
      <c r="H293" s="272"/>
      <c r="I293" s="273" t="s">
        <v>8</v>
      </c>
      <c r="J293" s="274" t="s">
        <v>65</v>
      </c>
      <c r="K293" s="275" t="s">
        <v>8</v>
      </c>
      <c r="L293" s="272"/>
      <c r="M293" s="272"/>
      <c r="N293" s="272"/>
      <c r="O293" s="276"/>
      <c r="P293" s="349"/>
      <c r="Q293" s="359" t="s">
        <v>164</v>
      </c>
      <c r="R293" s="349"/>
      <c r="S293" s="349" t="s">
        <v>8</v>
      </c>
    </row>
    <row r="294" spans="1:19" x14ac:dyDescent="0.35">
      <c r="A294" s="1428"/>
      <c r="B294" s="1125">
        <v>263</v>
      </c>
      <c r="C294" s="23">
        <v>43.4</v>
      </c>
      <c r="D294" s="24">
        <f t="shared" si="11"/>
        <v>467.15325999999999</v>
      </c>
      <c r="E294" s="272"/>
      <c r="F294" s="272"/>
      <c r="G294" s="272"/>
      <c r="H294" s="272"/>
      <c r="I294" s="273" t="s">
        <v>8</v>
      </c>
      <c r="J294" s="274" t="s">
        <v>65</v>
      </c>
      <c r="K294" s="275" t="s">
        <v>8</v>
      </c>
      <c r="L294" s="272"/>
      <c r="M294" s="272"/>
      <c r="N294" s="272"/>
      <c r="O294" s="276"/>
      <c r="P294" s="349"/>
      <c r="Q294" s="359" t="s">
        <v>164</v>
      </c>
      <c r="R294" s="349"/>
      <c r="S294" s="349" t="s">
        <v>8</v>
      </c>
    </row>
    <row r="295" spans="1:19" x14ac:dyDescent="0.35">
      <c r="A295" s="1428"/>
      <c r="B295" s="1125">
        <v>264</v>
      </c>
      <c r="C295" s="23">
        <v>43.4</v>
      </c>
      <c r="D295" s="24">
        <f t="shared" si="11"/>
        <v>467.15325999999999</v>
      </c>
      <c r="E295" s="272"/>
      <c r="F295" s="272"/>
      <c r="G295" s="272"/>
      <c r="H295" s="272"/>
      <c r="I295" s="273" t="s">
        <v>8</v>
      </c>
      <c r="J295" s="274" t="s">
        <v>66</v>
      </c>
      <c r="K295" s="275" t="s">
        <v>8</v>
      </c>
      <c r="L295" s="272"/>
      <c r="M295" s="272"/>
      <c r="N295" s="272"/>
      <c r="O295" s="276"/>
      <c r="P295" s="349"/>
      <c r="Q295" s="359" t="s">
        <v>164</v>
      </c>
      <c r="R295" s="349"/>
      <c r="S295" s="349" t="s">
        <v>8</v>
      </c>
    </row>
    <row r="296" spans="1:19" x14ac:dyDescent="0.35">
      <c r="A296" s="1428"/>
      <c r="B296" s="1125">
        <v>265</v>
      </c>
      <c r="C296" s="23">
        <v>43.4</v>
      </c>
      <c r="D296" s="24">
        <f t="shared" si="11"/>
        <v>467.15325999999999</v>
      </c>
      <c r="E296" s="272"/>
      <c r="F296" s="272"/>
      <c r="G296" s="272"/>
      <c r="H296" s="272"/>
      <c r="I296" s="273" t="s">
        <v>8</v>
      </c>
      <c r="J296" s="274" t="s">
        <v>65</v>
      </c>
      <c r="K296" s="275" t="s">
        <v>8</v>
      </c>
      <c r="L296" s="272"/>
      <c r="M296" s="272"/>
      <c r="N296" s="272"/>
      <c r="O296" s="276"/>
      <c r="P296" s="350"/>
      <c r="Q296" s="359" t="s">
        <v>164</v>
      </c>
      <c r="R296" s="349"/>
      <c r="S296" s="349" t="s">
        <v>8</v>
      </c>
    </row>
    <row r="297" spans="1:19" x14ac:dyDescent="0.35">
      <c r="A297" s="1428"/>
      <c r="B297" s="1125">
        <v>266</v>
      </c>
      <c r="C297" s="23">
        <v>43.4</v>
      </c>
      <c r="D297" s="24">
        <f t="shared" si="11"/>
        <v>467.15325999999999</v>
      </c>
      <c r="E297" s="272"/>
      <c r="F297" s="272"/>
      <c r="G297" s="272"/>
      <c r="H297" s="272"/>
      <c r="I297" s="273" t="s">
        <v>8</v>
      </c>
      <c r="J297" s="274" t="s">
        <v>66</v>
      </c>
      <c r="K297" s="275" t="s">
        <v>8</v>
      </c>
      <c r="L297" s="272"/>
      <c r="M297" s="272"/>
      <c r="N297" s="272"/>
      <c r="O297" s="276"/>
      <c r="P297" s="350"/>
      <c r="Q297" s="359" t="s">
        <v>164</v>
      </c>
      <c r="R297" s="349"/>
      <c r="S297" s="349" t="s">
        <v>8</v>
      </c>
    </row>
    <row r="298" spans="1:19" x14ac:dyDescent="0.35">
      <c r="A298" s="1428"/>
      <c r="B298" s="1125">
        <v>267</v>
      </c>
      <c r="C298" s="23">
        <v>43.4</v>
      </c>
      <c r="D298" s="24">
        <f t="shared" si="11"/>
        <v>467.15325999999999</v>
      </c>
      <c r="E298" s="272"/>
      <c r="F298" s="272"/>
      <c r="G298" s="272"/>
      <c r="H298" s="272"/>
      <c r="I298" s="273" t="s">
        <v>8</v>
      </c>
      <c r="J298" s="274" t="s">
        <v>65</v>
      </c>
      <c r="K298" s="275" t="s">
        <v>8</v>
      </c>
      <c r="L298" s="272"/>
      <c r="M298" s="272"/>
      <c r="N298" s="272"/>
      <c r="O298" s="276"/>
      <c r="P298" s="349"/>
      <c r="Q298" s="359" t="s">
        <v>164</v>
      </c>
      <c r="R298" s="349"/>
      <c r="S298" s="349" t="s">
        <v>8</v>
      </c>
    </row>
    <row r="299" spans="1:19" x14ac:dyDescent="0.35">
      <c r="A299" s="1428"/>
      <c r="B299" s="1125">
        <v>268</v>
      </c>
      <c r="C299" s="23">
        <v>43.4</v>
      </c>
      <c r="D299" s="24">
        <f t="shared" si="11"/>
        <v>467.15325999999999</v>
      </c>
      <c r="E299" s="272"/>
      <c r="F299" s="272"/>
      <c r="G299" s="272"/>
      <c r="H299" s="272"/>
      <c r="I299" s="273" t="s">
        <v>8</v>
      </c>
      <c r="J299" s="274" t="s">
        <v>66</v>
      </c>
      <c r="K299" s="275" t="s">
        <v>8</v>
      </c>
      <c r="L299" s="272"/>
      <c r="M299" s="272"/>
      <c r="N299" s="272"/>
      <c r="O299" s="276"/>
      <c r="P299" s="349"/>
      <c r="Q299" s="359" t="s">
        <v>164</v>
      </c>
      <c r="R299" s="349"/>
      <c r="S299" s="349" t="s">
        <v>8</v>
      </c>
    </row>
    <row r="300" spans="1:19" x14ac:dyDescent="0.35">
      <c r="A300" s="1428"/>
      <c r="B300" s="1125">
        <v>269</v>
      </c>
      <c r="C300" s="23">
        <v>43.4</v>
      </c>
      <c r="D300" s="24">
        <f t="shared" si="11"/>
        <v>467.15325999999999</v>
      </c>
      <c r="E300" s="272"/>
      <c r="F300" s="272"/>
      <c r="G300" s="272"/>
      <c r="H300" s="272"/>
      <c r="I300" s="273" t="s">
        <v>8</v>
      </c>
      <c r="J300" s="274" t="s">
        <v>65</v>
      </c>
      <c r="K300" s="275" t="s">
        <v>8</v>
      </c>
      <c r="L300" s="272"/>
      <c r="M300" s="272"/>
      <c r="N300" s="272"/>
      <c r="O300" s="276"/>
      <c r="P300" s="352"/>
      <c r="Q300" s="359" t="s">
        <v>164</v>
      </c>
      <c r="R300" s="349"/>
      <c r="S300" s="349" t="s">
        <v>8</v>
      </c>
    </row>
    <row r="301" spans="1:19" x14ac:dyDescent="0.35">
      <c r="A301" s="1428"/>
      <c r="B301" s="1125">
        <v>270</v>
      </c>
      <c r="C301" s="23">
        <v>51.2</v>
      </c>
      <c r="D301" s="24">
        <f t="shared" si="11"/>
        <v>551.11167999999998</v>
      </c>
      <c r="E301" s="272"/>
      <c r="F301" s="272"/>
      <c r="G301" s="272"/>
      <c r="H301" s="272"/>
      <c r="I301" s="273" t="s">
        <v>8</v>
      </c>
      <c r="J301" s="274" t="s">
        <v>66</v>
      </c>
      <c r="K301" s="275" t="s">
        <v>8</v>
      </c>
      <c r="L301" s="272"/>
      <c r="M301" s="272"/>
      <c r="N301" s="272"/>
      <c r="O301" s="276"/>
      <c r="P301" s="351"/>
      <c r="Q301" s="359" t="s">
        <v>164</v>
      </c>
      <c r="R301" s="349"/>
      <c r="S301" s="349" t="s">
        <v>8</v>
      </c>
    </row>
    <row r="302" spans="1:19" x14ac:dyDescent="0.35">
      <c r="A302" s="1428"/>
      <c r="B302" s="1125">
        <v>271</v>
      </c>
      <c r="C302" s="23">
        <v>43.4</v>
      </c>
      <c r="D302" s="24">
        <f t="shared" si="11"/>
        <v>467.15325999999999</v>
      </c>
      <c r="E302" s="272"/>
      <c r="F302" s="272"/>
      <c r="G302" s="272"/>
      <c r="H302" s="272"/>
      <c r="I302" s="273" t="s">
        <v>8</v>
      </c>
      <c r="J302" s="274" t="s">
        <v>65</v>
      </c>
      <c r="K302" s="275" t="s">
        <v>8</v>
      </c>
      <c r="L302" s="272"/>
      <c r="M302" s="272"/>
      <c r="N302" s="272"/>
      <c r="O302" s="276"/>
      <c r="P302" s="349"/>
      <c r="Q302" s="359" t="s">
        <v>164</v>
      </c>
      <c r="R302" s="349"/>
      <c r="S302" s="349" t="s">
        <v>8</v>
      </c>
    </row>
    <row r="303" spans="1:19" x14ac:dyDescent="0.35">
      <c r="A303" s="1428"/>
      <c r="B303" s="1125">
        <v>272</v>
      </c>
      <c r="C303" s="23">
        <v>43.4</v>
      </c>
      <c r="D303" s="24">
        <f t="shared" si="11"/>
        <v>467.15325999999999</v>
      </c>
      <c r="E303" s="272"/>
      <c r="F303" s="272"/>
      <c r="G303" s="272"/>
      <c r="H303" s="272"/>
      <c r="I303" s="273" t="s">
        <v>8</v>
      </c>
      <c r="J303" s="274" t="s">
        <v>65</v>
      </c>
      <c r="K303" s="275" t="s">
        <v>8</v>
      </c>
      <c r="L303" s="272"/>
      <c r="M303" s="272"/>
      <c r="N303" s="272"/>
      <c r="O303" s="276"/>
      <c r="P303" s="349"/>
      <c r="Q303" s="359" t="s">
        <v>164</v>
      </c>
      <c r="R303" s="349"/>
      <c r="S303" s="349" t="s">
        <v>8</v>
      </c>
    </row>
    <row r="304" spans="1:19" x14ac:dyDescent="0.35">
      <c r="A304" s="1428"/>
      <c r="B304" s="1125">
        <v>273</v>
      </c>
      <c r="C304" s="23">
        <v>50.8</v>
      </c>
      <c r="D304" s="24">
        <f t="shared" si="11"/>
        <v>546.80611999999996</v>
      </c>
      <c r="E304" s="272"/>
      <c r="F304" s="272"/>
      <c r="G304" s="272" t="s">
        <v>8</v>
      </c>
      <c r="H304" s="272"/>
      <c r="I304" s="273"/>
      <c r="J304" s="274" t="s">
        <v>64</v>
      </c>
      <c r="K304" s="275" t="s">
        <v>8</v>
      </c>
      <c r="L304" s="272"/>
      <c r="M304" s="272"/>
      <c r="N304" s="272"/>
      <c r="O304" s="276"/>
      <c r="P304" s="349"/>
      <c r="Q304" s="359" t="s">
        <v>164</v>
      </c>
      <c r="R304" s="349" t="s">
        <v>8</v>
      </c>
      <c r="S304" s="349"/>
    </row>
    <row r="305" spans="1:19" x14ac:dyDescent="0.35">
      <c r="A305" s="1428"/>
      <c r="B305" s="1125">
        <v>274</v>
      </c>
      <c r="C305" s="23">
        <v>39.200000000000003</v>
      </c>
      <c r="D305" s="24">
        <f t="shared" si="11"/>
        <v>421.94488000000001</v>
      </c>
      <c r="E305" s="272"/>
      <c r="F305" s="272"/>
      <c r="G305" s="272" t="s">
        <v>8</v>
      </c>
      <c r="H305" s="272"/>
      <c r="I305" s="273"/>
      <c r="J305" s="274" t="s">
        <v>65</v>
      </c>
      <c r="K305" s="275" t="s">
        <v>8</v>
      </c>
      <c r="L305" s="272"/>
      <c r="M305" s="272"/>
      <c r="N305" s="272"/>
      <c r="O305" s="276"/>
      <c r="P305" s="349"/>
      <c r="Q305" s="359" t="s">
        <v>164</v>
      </c>
      <c r="R305" s="349" t="s">
        <v>8</v>
      </c>
      <c r="S305" s="349"/>
    </row>
    <row r="306" spans="1:19" x14ac:dyDescent="0.35">
      <c r="A306" s="1428"/>
      <c r="B306" s="1125">
        <v>275</v>
      </c>
      <c r="C306" s="23">
        <v>57.8</v>
      </c>
      <c r="D306" s="24">
        <f t="shared" si="11"/>
        <v>622.15341999999998</v>
      </c>
      <c r="E306" s="272"/>
      <c r="F306" s="272"/>
      <c r="G306" s="272"/>
      <c r="H306" s="272" t="s">
        <v>8</v>
      </c>
      <c r="I306" s="273"/>
      <c r="J306" s="274" t="s">
        <v>66</v>
      </c>
      <c r="K306" s="275" t="s">
        <v>8</v>
      </c>
      <c r="L306" s="272"/>
      <c r="M306" s="272"/>
      <c r="N306" s="272"/>
      <c r="O306" s="276"/>
      <c r="P306" s="349"/>
      <c r="Q306" s="358" t="s">
        <v>166</v>
      </c>
      <c r="R306" s="349"/>
      <c r="S306" s="349" t="s">
        <v>8</v>
      </c>
    </row>
    <row r="307" spans="1:19" x14ac:dyDescent="0.35">
      <c r="A307" s="1428"/>
      <c r="B307" s="1125">
        <v>276</v>
      </c>
      <c r="C307" s="23">
        <v>57.8</v>
      </c>
      <c r="D307" s="24">
        <f t="shared" si="11"/>
        <v>622.15341999999998</v>
      </c>
      <c r="E307" s="272"/>
      <c r="F307" s="272"/>
      <c r="G307" s="272"/>
      <c r="H307" s="272" t="s">
        <v>8</v>
      </c>
      <c r="I307" s="273"/>
      <c r="J307" s="274" t="s">
        <v>66</v>
      </c>
      <c r="K307" s="275" t="s">
        <v>8</v>
      </c>
      <c r="L307" s="272"/>
      <c r="M307" s="272"/>
      <c r="N307" s="272"/>
      <c r="O307" s="276"/>
      <c r="P307" s="350"/>
      <c r="Q307" s="359" t="s">
        <v>166</v>
      </c>
      <c r="R307" s="349"/>
      <c r="S307" s="349" t="s">
        <v>8</v>
      </c>
    </row>
    <row r="308" spans="1:19" x14ac:dyDescent="0.35">
      <c r="A308" s="1428"/>
      <c r="B308" s="1125">
        <v>277</v>
      </c>
      <c r="C308" s="23">
        <v>50.1</v>
      </c>
      <c r="D308" s="24">
        <f t="shared" si="11"/>
        <v>539.27139</v>
      </c>
      <c r="E308" s="272"/>
      <c r="F308" s="272"/>
      <c r="G308" s="272"/>
      <c r="H308" s="272"/>
      <c r="I308" s="273" t="s">
        <v>8</v>
      </c>
      <c r="J308" s="274" t="s">
        <v>65</v>
      </c>
      <c r="K308" s="275" t="s">
        <v>8</v>
      </c>
      <c r="L308" s="272"/>
      <c r="M308" s="272"/>
      <c r="N308" s="272"/>
      <c r="O308" s="276"/>
      <c r="P308" s="351"/>
      <c r="Q308" s="358" t="s">
        <v>166</v>
      </c>
      <c r="R308" s="351"/>
      <c r="S308" s="349" t="s">
        <v>8</v>
      </c>
    </row>
    <row r="309" spans="1:19" x14ac:dyDescent="0.35">
      <c r="A309" s="1428"/>
      <c r="B309" s="1125">
        <v>278</v>
      </c>
      <c r="C309" s="23">
        <v>100.1</v>
      </c>
      <c r="D309" s="24">
        <f t="shared" si="11"/>
        <v>1077.4663899999998</v>
      </c>
      <c r="E309" s="272"/>
      <c r="F309" s="272"/>
      <c r="G309" s="272"/>
      <c r="H309" s="272" t="s">
        <v>8</v>
      </c>
      <c r="I309" s="273"/>
      <c r="J309" s="274" t="s">
        <v>65</v>
      </c>
      <c r="K309" s="275"/>
      <c r="L309" s="272" t="s">
        <v>8</v>
      </c>
      <c r="M309" s="272"/>
      <c r="N309" s="272"/>
      <c r="O309" s="276"/>
      <c r="P309" s="349"/>
      <c r="Q309" s="1110" t="s">
        <v>166</v>
      </c>
      <c r="R309" s="352"/>
      <c r="S309" s="349" t="s">
        <v>8</v>
      </c>
    </row>
    <row r="310" spans="1:19" x14ac:dyDescent="0.35">
      <c r="A310" s="1428"/>
      <c r="B310" s="1125">
        <v>279</v>
      </c>
      <c r="C310" s="23">
        <v>57.8</v>
      </c>
      <c r="D310" s="24">
        <f t="shared" si="11"/>
        <v>622.15341999999998</v>
      </c>
      <c r="E310" s="272"/>
      <c r="F310" s="272"/>
      <c r="G310" s="272"/>
      <c r="H310" s="272" t="s">
        <v>8</v>
      </c>
      <c r="I310" s="273"/>
      <c r="J310" s="274" t="s">
        <v>63</v>
      </c>
      <c r="K310" s="275" t="s">
        <v>8</v>
      </c>
      <c r="L310" s="272"/>
      <c r="M310" s="272"/>
      <c r="N310" s="272"/>
      <c r="O310" s="276"/>
      <c r="P310" s="349" t="s">
        <v>8</v>
      </c>
      <c r="Q310" s="1110" t="s">
        <v>166</v>
      </c>
      <c r="R310" s="349"/>
      <c r="S310" s="349" t="s">
        <v>8</v>
      </c>
    </row>
    <row r="311" spans="1:19" x14ac:dyDescent="0.35">
      <c r="A311" s="1428"/>
      <c r="B311" s="1125">
        <v>280</v>
      </c>
      <c r="C311" s="23">
        <v>57.8</v>
      </c>
      <c r="D311" s="24">
        <f t="shared" si="11"/>
        <v>622.15341999999998</v>
      </c>
      <c r="E311" s="272"/>
      <c r="F311" s="272"/>
      <c r="G311" s="272"/>
      <c r="H311" s="272" t="s">
        <v>8</v>
      </c>
      <c r="I311" s="273"/>
      <c r="J311" s="274" t="s">
        <v>63</v>
      </c>
      <c r="K311" s="275" t="s">
        <v>8</v>
      </c>
      <c r="L311" s="272"/>
      <c r="M311" s="272"/>
      <c r="N311" s="272"/>
      <c r="O311" s="276"/>
      <c r="P311" s="349" t="s">
        <v>8</v>
      </c>
      <c r="Q311" s="1110" t="s">
        <v>166</v>
      </c>
      <c r="R311" s="351"/>
      <c r="S311" s="349" t="s">
        <v>8</v>
      </c>
    </row>
    <row r="312" spans="1:19" x14ac:dyDescent="0.35">
      <c r="A312" s="1428"/>
      <c r="B312" s="1125">
        <v>281</v>
      </c>
      <c r="C312" s="23">
        <v>69.599999999999994</v>
      </c>
      <c r="D312" s="24">
        <f t="shared" si="11"/>
        <v>749.16743999999994</v>
      </c>
      <c r="E312" s="272"/>
      <c r="F312" s="272"/>
      <c r="G312" s="272"/>
      <c r="H312" s="272" t="s">
        <v>8</v>
      </c>
      <c r="I312" s="273"/>
      <c r="J312" s="274" t="s">
        <v>66</v>
      </c>
      <c r="K312" s="275"/>
      <c r="L312" s="272" t="s">
        <v>8</v>
      </c>
      <c r="M312" s="272"/>
      <c r="N312" s="272"/>
      <c r="O312" s="276"/>
      <c r="P312" s="349"/>
      <c r="Q312" s="359" t="s">
        <v>166</v>
      </c>
      <c r="R312" s="352"/>
      <c r="S312" s="349" t="s">
        <v>8</v>
      </c>
    </row>
    <row r="313" spans="1:19" x14ac:dyDescent="0.35">
      <c r="A313" s="1428"/>
      <c r="B313" s="1125">
        <v>282</v>
      </c>
      <c r="C313" s="23">
        <v>69.599999999999994</v>
      </c>
      <c r="D313" s="24">
        <f t="shared" si="11"/>
        <v>749.16743999999994</v>
      </c>
      <c r="E313" s="272"/>
      <c r="F313" s="272"/>
      <c r="G313" s="272"/>
      <c r="H313" s="272" t="s">
        <v>8</v>
      </c>
      <c r="I313" s="273"/>
      <c r="J313" s="274" t="s">
        <v>66</v>
      </c>
      <c r="K313" s="275"/>
      <c r="L313" s="272" t="s">
        <v>8</v>
      </c>
      <c r="M313" s="272"/>
      <c r="N313" s="272"/>
      <c r="O313" s="276"/>
      <c r="P313" s="350"/>
      <c r="Q313" s="358" t="s">
        <v>166</v>
      </c>
      <c r="R313" s="352"/>
      <c r="S313" s="349" t="s">
        <v>8</v>
      </c>
    </row>
    <row r="314" spans="1:19" x14ac:dyDescent="0.35">
      <c r="A314" s="1428"/>
      <c r="B314" s="1125">
        <v>283</v>
      </c>
      <c r="C314" s="23">
        <v>69.599999999999994</v>
      </c>
      <c r="D314" s="24">
        <f t="shared" si="11"/>
        <v>749.16743999999994</v>
      </c>
      <c r="E314" s="272"/>
      <c r="F314" s="272"/>
      <c r="G314" s="272"/>
      <c r="H314" s="272" t="s">
        <v>8</v>
      </c>
      <c r="I314" s="273"/>
      <c r="J314" s="274" t="s">
        <v>66</v>
      </c>
      <c r="K314" s="275"/>
      <c r="L314" s="272" t="s">
        <v>8</v>
      </c>
      <c r="M314" s="272"/>
      <c r="N314" s="272"/>
      <c r="O314" s="276"/>
      <c r="P314" s="351"/>
      <c r="Q314" s="1110" t="s">
        <v>166</v>
      </c>
      <c r="R314" s="352"/>
      <c r="S314" s="349" t="s">
        <v>8</v>
      </c>
    </row>
    <row r="315" spans="1:19" x14ac:dyDescent="0.35">
      <c r="A315" s="1428"/>
      <c r="B315" s="1125">
        <v>284</v>
      </c>
      <c r="C315" s="23">
        <v>69.599999999999994</v>
      </c>
      <c r="D315" s="24">
        <f t="shared" si="11"/>
        <v>749.16743999999994</v>
      </c>
      <c r="E315" s="272"/>
      <c r="F315" s="272"/>
      <c r="G315" s="272"/>
      <c r="H315" s="272" t="s">
        <v>8</v>
      </c>
      <c r="I315" s="273"/>
      <c r="J315" s="274" t="s">
        <v>66</v>
      </c>
      <c r="K315" s="275"/>
      <c r="L315" s="272" t="s">
        <v>8</v>
      </c>
      <c r="M315" s="272"/>
      <c r="N315" s="272"/>
      <c r="O315" s="276"/>
      <c r="P315" s="349"/>
      <c r="Q315" s="359" t="s">
        <v>166</v>
      </c>
      <c r="R315" s="352"/>
      <c r="S315" s="349" t="s">
        <v>8</v>
      </c>
    </row>
    <row r="316" spans="1:19" x14ac:dyDescent="0.35">
      <c r="A316" s="1428"/>
      <c r="B316" s="1125">
        <v>285</v>
      </c>
      <c r="C316" s="23">
        <v>87.3</v>
      </c>
      <c r="D316" s="24">
        <f t="shared" si="11"/>
        <v>939.68846999999994</v>
      </c>
      <c r="E316" s="272"/>
      <c r="F316" s="272"/>
      <c r="G316" s="272"/>
      <c r="H316" s="272" t="s">
        <v>8</v>
      </c>
      <c r="I316" s="273"/>
      <c r="J316" s="274" t="s">
        <v>66</v>
      </c>
      <c r="K316" s="275"/>
      <c r="L316" s="272"/>
      <c r="M316" s="272" t="s">
        <v>8</v>
      </c>
      <c r="N316" s="272"/>
      <c r="O316" s="276"/>
      <c r="P316" s="349"/>
      <c r="Q316" s="358" t="s">
        <v>166</v>
      </c>
      <c r="R316" s="352"/>
      <c r="S316" s="349" t="s">
        <v>8</v>
      </c>
    </row>
    <row r="317" spans="1:19" x14ac:dyDescent="0.35">
      <c r="A317" s="1428"/>
      <c r="B317" s="1125">
        <v>286</v>
      </c>
      <c r="C317" s="23">
        <v>87.3</v>
      </c>
      <c r="D317" s="24">
        <f t="shared" si="11"/>
        <v>939.68846999999994</v>
      </c>
      <c r="E317" s="272"/>
      <c r="F317" s="272"/>
      <c r="G317" s="272"/>
      <c r="H317" s="272" t="s">
        <v>8</v>
      </c>
      <c r="I317" s="273"/>
      <c r="J317" s="274" t="s">
        <v>66</v>
      </c>
      <c r="K317" s="275"/>
      <c r="L317" s="272"/>
      <c r="M317" s="272" t="s">
        <v>8</v>
      </c>
      <c r="N317" s="272"/>
      <c r="O317" s="276"/>
      <c r="P317" s="349"/>
      <c r="Q317" s="1110" t="s">
        <v>166</v>
      </c>
      <c r="R317" s="352"/>
      <c r="S317" s="349" t="s">
        <v>8</v>
      </c>
    </row>
    <row r="318" spans="1:19" x14ac:dyDescent="0.35">
      <c r="A318" s="1428"/>
      <c r="B318" s="1125">
        <v>287</v>
      </c>
      <c r="C318" s="23">
        <v>69.599999999999994</v>
      </c>
      <c r="D318" s="24">
        <f t="shared" si="11"/>
        <v>749.16743999999994</v>
      </c>
      <c r="E318" s="272"/>
      <c r="F318" s="272"/>
      <c r="G318" s="272"/>
      <c r="H318" s="272" t="s">
        <v>8</v>
      </c>
      <c r="I318" s="273"/>
      <c r="J318" s="274" t="s">
        <v>66</v>
      </c>
      <c r="K318" s="275"/>
      <c r="L318" s="272" t="s">
        <v>8</v>
      </c>
      <c r="M318" s="272"/>
      <c r="N318" s="272"/>
      <c r="O318" s="276"/>
      <c r="P318" s="351"/>
      <c r="Q318" s="1110" t="s">
        <v>166</v>
      </c>
      <c r="R318" s="349"/>
      <c r="S318" s="349" t="s">
        <v>8</v>
      </c>
    </row>
    <row r="319" spans="1:19" x14ac:dyDescent="0.35">
      <c r="A319" s="1428"/>
      <c r="B319" s="1125">
        <v>288</v>
      </c>
      <c r="C319" s="23">
        <v>69.599999999999994</v>
      </c>
      <c r="D319" s="24">
        <f t="shared" si="11"/>
        <v>749.16743999999994</v>
      </c>
      <c r="E319" s="272"/>
      <c r="F319" s="272"/>
      <c r="G319" s="272"/>
      <c r="H319" s="272" t="s">
        <v>8</v>
      </c>
      <c r="I319" s="273"/>
      <c r="J319" s="274" t="s">
        <v>66</v>
      </c>
      <c r="K319" s="275"/>
      <c r="L319" s="272" t="s">
        <v>8</v>
      </c>
      <c r="M319" s="272"/>
      <c r="N319" s="272"/>
      <c r="O319" s="276"/>
      <c r="P319" s="349"/>
      <c r="Q319" s="359" t="s">
        <v>166</v>
      </c>
      <c r="R319" s="351"/>
      <c r="S319" s="349" t="s">
        <v>8</v>
      </c>
    </row>
    <row r="320" spans="1:19" x14ac:dyDescent="0.35">
      <c r="A320" s="1428"/>
      <c r="B320" s="1125">
        <v>289</v>
      </c>
      <c r="C320" s="23">
        <v>59.4</v>
      </c>
      <c r="D320" s="24">
        <f t="shared" si="11"/>
        <v>639.37565999999993</v>
      </c>
      <c r="E320" s="272"/>
      <c r="F320" s="272"/>
      <c r="G320" s="272"/>
      <c r="H320" s="272"/>
      <c r="I320" s="273" t="s">
        <v>8</v>
      </c>
      <c r="J320" s="274" t="s">
        <v>65</v>
      </c>
      <c r="K320" s="275" t="s">
        <v>8</v>
      </c>
      <c r="L320" s="272"/>
      <c r="M320" s="272"/>
      <c r="N320" s="272"/>
      <c r="O320" s="276"/>
      <c r="P320" s="349"/>
      <c r="Q320" s="359" t="s">
        <v>164</v>
      </c>
      <c r="R320" s="349"/>
      <c r="S320" s="349" t="s">
        <v>8</v>
      </c>
    </row>
    <row r="321" spans="1:19" x14ac:dyDescent="0.35">
      <c r="A321" s="1428"/>
      <c r="B321" s="1125">
        <v>290</v>
      </c>
      <c r="C321" s="23">
        <v>66.5</v>
      </c>
      <c r="D321" s="24">
        <f t="shared" si="11"/>
        <v>715.79935</v>
      </c>
      <c r="E321" s="272"/>
      <c r="F321" s="272"/>
      <c r="G321" s="272"/>
      <c r="H321" s="272" t="s">
        <v>8</v>
      </c>
      <c r="I321" s="273"/>
      <c r="J321" s="274" t="s">
        <v>66</v>
      </c>
      <c r="K321" s="275"/>
      <c r="L321" s="272" t="s">
        <v>8</v>
      </c>
      <c r="M321" s="272"/>
      <c r="N321" s="272"/>
      <c r="O321" s="276"/>
      <c r="P321" s="349"/>
      <c r="Q321" s="358" t="s">
        <v>166</v>
      </c>
      <c r="R321" s="351"/>
      <c r="S321" s="349" t="s">
        <v>8</v>
      </c>
    </row>
    <row r="322" spans="1:19" x14ac:dyDescent="0.35">
      <c r="A322" s="1428"/>
      <c r="B322" s="1125">
        <v>291</v>
      </c>
      <c r="C322" s="23">
        <v>69.599999999999994</v>
      </c>
      <c r="D322" s="24">
        <f t="shared" si="11"/>
        <v>749.16743999999994</v>
      </c>
      <c r="E322" s="272"/>
      <c r="F322" s="272"/>
      <c r="G322" s="272"/>
      <c r="H322" s="272" t="s">
        <v>8</v>
      </c>
      <c r="I322" s="273"/>
      <c r="J322" s="274" t="s">
        <v>66</v>
      </c>
      <c r="K322" s="275"/>
      <c r="L322" s="272" t="s">
        <v>8</v>
      </c>
      <c r="M322" s="272"/>
      <c r="N322" s="272"/>
      <c r="O322" s="276"/>
      <c r="P322" s="349"/>
      <c r="Q322" s="358" t="s">
        <v>166</v>
      </c>
      <c r="R322" s="349"/>
      <c r="S322" s="349" t="s">
        <v>8</v>
      </c>
    </row>
    <row r="323" spans="1:19" x14ac:dyDescent="0.35">
      <c r="A323" s="1428"/>
      <c r="B323" s="1125">
        <v>292</v>
      </c>
      <c r="C323" s="23">
        <v>59.4</v>
      </c>
      <c r="D323" s="24">
        <f t="shared" si="11"/>
        <v>639.37565999999993</v>
      </c>
      <c r="E323" s="272"/>
      <c r="F323" s="272"/>
      <c r="G323" s="272"/>
      <c r="H323" s="272"/>
      <c r="I323" s="273" t="s">
        <v>8</v>
      </c>
      <c r="J323" s="274" t="s">
        <v>65</v>
      </c>
      <c r="K323" s="275" t="s">
        <v>8</v>
      </c>
      <c r="L323" s="272"/>
      <c r="M323" s="272"/>
      <c r="N323" s="272"/>
      <c r="O323" s="276"/>
      <c r="P323" s="349"/>
      <c r="Q323" s="359" t="s">
        <v>164</v>
      </c>
      <c r="R323" s="349"/>
      <c r="S323" s="349" t="s">
        <v>8</v>
      </c>
    </row>
    <row r="324" spans="1:19" x14ac:dyDescent="0.35">
      <c r="A324" s="1428"/>
      <c r="B324" s="1125">
        <v>293</v>
      </c>
      <c r="C324" s="23">
        <v>59.4</v>
      </c>
      <c r="D324" s="24">
        <f t="shared" si="11"/>
        <v>639.37565999999993</v>
      </c>
      <c r="E324" s="272"/>
      <c r="F324" s="272"/>
      <c r="G324" s="272"/>
      <c r="H324" s="272"/>
      <c r="I324" s="273" t="s">
        <v>8</v>
      </c>
      <c r="J324" s="274" t="s">
        <v>65</v>
      </c>
      <c r="K324" s="275" t="s">
        <v>8</v>
      </c>
      <c r="L324" s="272"/>
      <c r="M324" s="272"/>
      <c r="N324" s="272"/>
      <c r="O324" s="276"/>
      <c r="P324" s="350"/>
      <c r="Q324" s="359" t="s">
        <v>164</v>
      </c>
      <c r="R324" s="349"/>
      <c r="S324" s="349" t="s">
        <v>8</v>
      </c>
    </row>
    <row r="325" spans="1:19" x14ac:dyDescent="0.35">
      <c r="A325" s="1428"/>
      <c r="B325" s="1125">
        <v>294</v>
      </c>
      <c r="C325" s="23">
        <v>66.5</v>
      </c>
      <c r="D325" s="24">
        <f t="shared" si="11"/>
        <v>715.79935</v>
      </c>
      <c r="E325" s="272"/>
      <c r="F325" s="272"/>
      <c r="G325" s="272"/>
      <c r="H325" s="272" t="s">
        <v>8</v>
      </c>
      <c r="I325" s="273"/>
      <c r="J325" s="274" t="s">
        <v>66</v>
      </c>
      <c r="K325" s="275"/>
      <c r="L325" s="272" t="s">
        <v>8</v>
      </c>
      <c r="M325" s="272"/>
      <c r="N325" s="272"/>
      <c r="O325" s="276"/>
      <c r="P325" s="351"/>
      <c r="Q325" s="359" t="s">
        <v>166</v>
      </c>
      <c r="R325" s="351"/>
      <c r="S325" s="349" t="s">
        <v>8</v>
      </c>
    </row>
    <row r="326" spans="1:19" x14ac:dyDescent="0.35">
      <c r="A326" s="1428"/>
      <c r="B326" s="1125">
        <v>295</v>
      </c>
      <c r="C326" s="23">
        <v>69.599999999999994</v>
      </c>
      <c r="D326" s="24">
        <f t="shared" si="11"/>
        <v>749.16743999999994</v>
      </c>
      <c r="E326" s="272"/>
      <c r="F326" s="272"/>
      <c r="G326" s="272"/>
      <c r="H326" s="272" t="s">
        <v>8</v>
      </c>
      <c r="I326" s="273"/>
      <c r="J326" s="274" t="s">
        <v>66</v>
      </c>
      <c r="K326" s="275"/>
      <c r="L326" s="272" t="s">
        <v>8</v>
      </c>
      <c r="M326" s="272"/>
      <c r="N326" s="272"/>
      <c r="O326" s="276"/>
      <c r="P326" s="349"/>
      <c r="Q326" s="358" t="s">
        <v>166</v>
      </c>
      <c r="R326" s="349"/>
      <c r="S326" s="349" t="s">
        <v>8</v>
      </c>
    </row>
    <row r="327" spans="1:19" x14ac:dyDescent="0.35">
      <c r="A327" s="1428"/>
      <c r="B327" s="1125">
        <v>296</v>
      </c>
      <c r="C327" s="23">
        <v>59.4</v>
      </c>
      <c r="D327" s="24">
        <f t="shared" si="11"/>
        <v>639.37565999999993</v>
      </c>
      <c r="E327" s="272"/>
      <c r="F327" s="272"/>
      <c r="G327" s="272"/>
      <c r="H327" s="272"/>
      <c r="I327" s="273" t="s">
        <v>8</v>
      </c>
      <c r="J327" s="274" t="s">
        <v>65</v>
      </c>
      <c r="K327" s="275" t="s">
        <v>8</v>
      </c>
      <c r="L327" s="272"/>
      <c r="M327" s="272"/>
      <c r="N327" s="272"/>
      <c r="O327" s="276"/>
      <c r="P327" s="351"/>
      <c r="Q327" s="359" t="s">
        <v>164</v>
      </c>
      <c r="R327" s="349"/>
      <c r="S327" s="349" t="s">
        <v>8</v>
      </c>
    </row>
    <row r="328" spans="1:19" x14ac:dyDescent="0.35">
      <c r="A328" s="1429"/>
      <c r="B328" s="1125">
        <v>297</v>
      </c>
      <c r="C328" s="23">
        <v>59.4</v>
      </c>
      <c r="D328" s="24">
        <f t="shared" si="11"/>
        <v>639.37565999999993</v>
      </c>
      <c r="E328" s="272"/>
      <c r="F328" s="272"/>
      <c r="G328" s="272" t="s">
        <v>8</v>
      </c>
      <c r="H328" s="272"/>
      <c r="I328" s="273"/>
      <c r="J328" s="274" t="s">
        <v>65</v>
      </c>
      <c r="K328" s="275" t="s">
        <v>8</v>
      </c>
      <c r="L328" s="272"/>
      <c r="M328" s="272"/>
      <c r="N328" s="272"/>
      <c r="O328" s="276"/>
      <c r="P328" s="349"/>
      <c r="Q328" s="359" t="s">
        <v>164</v>
      </c>
      <c r="R328" s="349" t="s">
        <v>8</v>
      </c>
      <c r="S328" s="349"/>
    </row>
    <row r="329" spans="1:19" x14ac:dyDescent="0.35">
      <c r="A329" s="1427" t="s">
        <v>123</v>
      </c>
      <c r="B329" s="1125">
        <v>298</v>
      </c>
      <c r="C329" s="23">
        <v>40.1</v>
      </c>
      <c r="D329" s="24">
        <f t="shared" si="11"/>
        <v>431.63238999999999</v>
      </c>
      <c r="E329" s="272"/>
      <c r="F329" s="272"/>
      <c r="G329" s="272" t="s">
        <v>8</v>
      </c>
      <c r="H329" s="272"/>
      <c r="I329" s="273"/>
      <c r="J329" s="274" t="s">
        <v>159</v>
      </c>
      <c r="K329" s="275" t="s">
        <v>8</v>
      </c>
      <c r="L329" s="272"/>
      <c r="M329" s="272"/>
      <c r="N329" s="272"/>
      <c r="O329" s="276"/>
      <c r="P329" s="349"/>
      <c r="Q329" s="359" t="s">
        <v>164</v>
      </c>
      <c r="R329" s="349" t="s">
        <v>8</v>
      </c>
      <c r="S329" s="349"/>
    </row>
    <row r="330" spans="1:19" x14ac:dyDescent="0.35">
      <c r="A330" s="1428"/>
      <c r="B330" s="1360">
        <v>299</v>
      </c>
      <c r="C330" s="1362">
        <v>103.4</v>
      </c>
      <c r="D330" s="1364">
        <f t="shared" si="11"/>
        <v>1112.9872600000001</v>
      </c>
      <c r="E330" s="1356" t="s">
        <v>8</v>
      </c>
      <c r="F330" s="1354"/>
      <c r="G330" s="1354"/>
      <c r="H330" s="1354"/>
      <c r="I330" s="1375"/>
      <c r="J330" s="274" t="s">
        <v>63</v>
      </c>
      <c r="K330" s="1377"/>
      <c r="L330" s="1354"/>
      <c r="M330" s="1356" t="s">
        <v>8</v>
      </c>
      <c r="N330" s="1356"/>
      <c r="O330" s="1370"/>
      <c r="P330" s="1297"/>
      <c r="Q330" s="1366" t="s">
        <v>167</v>
      </c>
      <c r="R330" s="1297" t="s">
        <v>8</v>
      </c>
      <c r="S330" s="1297"/>
    </row>
    <row r="331" spans="1:19" x14ac:dyDescent="0.35">
      <c r="A331" s="1428"/>
      <c r="B331" s="1361"/>
      <c r="C331" s="1363"/>
      <c r="D331" s="1365"/>
      <c r="E331" s="1357"/>
      <c r="F331" s="1355"/>
      <c r="G331" s="1355"/>
      <c r="H331" s="1355"/>
      <c r="I331" s="1376"/>
      <c r="J331" s="274" t="s">
        <v>64</v>
      </c>
      <c r="K331" s="1378"/>
      <c r="L331" s="1355"/>
      <c r="M331" s="1357"/>
      <c r="N331" s="1357"/>
      <c r="O331" s="1371"/>
      <c r="P331" s="1298"/>
      <c r="Q331" s="1367"/>
      <c r="R331" s="1298"/>
      <c r="S331" s="1298"/>
    </row>
    <row r="332" spans="1:19" x14ac:dyDescent="0.35">
      <c r="A332" s="1428"/>
      <c r="B332" s="1360">
        <v>300</v>
      </c>
      <c r="C332" s="1362">
        <v>103.4</v>
      </c>
      <c r="D332" s="1364">
        <f t="shared" si="11"/>
        <v>1112.9872600000001</v>
      </c>
      <c r="E332" s="1356" t="s">
        <v>8</v>
      </c>
      <c r="F332" s="1354"/>
      <c r="G332" s="1354"/>
      <c r="H332" s="1354"/>
      <c r="I332" s="1375"/>
      <c r="J332" s="274" t="s">
        <v>63</v>
      </c>
      <c r="K332" s="1377"/>
      <c r="L332" s="1354"/>
      <c r="M332" s="1356" t="s">
        <v>8</v>
      </c>
      <c r="N332" s="1356"/>
      <c r="O332" s="1370"/>
      <c r="P332" s="1297"/>
      <c r="Q332" s="1366" t="s">
        <v>167</v>
      </c>
      <c r="R332" s="1297" t="s">
        <v>8</v>
      </c>
      <c r="S332" s="1297"/>
    </row>
    <row r="333" spans="1:19" x14ac:dyDescent="0.35">
      <c r="A333" s="1428"/>
      <c r="B333" s="1361"/>
      <c r="C333" s="1363"/>
      <c r="D333" s="1365"/>
      <c r="E333" s="1357"/>
      <c r="F333" s="1355"/>
      <c r="G333" s="1355"/>
      <c r="H333" s="1355"/>
      <c r="I333" s="1376"/>
      <c r="J333" s="274" t="s">
        <v>64</v>
      </c>
      <c r="K333" s="1378"/>
      <c r="L333" s="1355"/>
      <c r="M333" s="1357"/>
      <c r="N333" s="1357"/>
      <c r="O333" s="1371"/>
      <c r="P333" s="1322"/>
      <c r="Q333" s="1367"/>
      <c r="R333" s="1298"/>
      <c r="S333" s="1298"/>
    </row>
    <row r="334" spans="1:19" x14ac:dyDescent="0.35">
      <c r="A334" s="1428"/>
      <c r="B334" s="1360">
        <v>301</v>
      </c>
      <c r="C334" s="1362">
        <v>103.4</v>
      </c>
      <c r="D334" s="1364">
        <f t="shared" si="11"/>
        <v>1112.9872600000001</v>
      </c>
      <c r="E334" s="1356" t="s">
        <v>8</v>
      </c>
      <c r="F334" s="1354"/>
      <c r="G334" s="1354"/>
      <c r="H334" s="1354"/>
      <c r="I334" s="1375"/>
      <c r="J334" s="274" t="s">
        <v>63</v>
      </c>
      <c r="K334" s="1377"/>
      <c r="L334" s="1354"/>
      <c r="M334" s="1356" t="s">
        <v>8</v>
      </c>
      <c r="N334" s="1356"/>
      <c r="O334" s="1370"/>
      <c r="P334" s="1322"/>
      <c r="Q334" s="1366" t="s">
        <v>167</v>
      </c>
      <c r="R334" s="1297" t="s">
        <v>8</v>
      </c>
      <c r="S334" s="1297"/>
    </row>
    <row r="335" spans="1:19" x14ac:dyDescent="0.35">
      <c r="A335" s="1428"/>
      <c r="B335" s="1361"/>
      <c r="C335" s="1363"/>
      <c r="D335" s="1365"/>
      <c r="E335" s="1357"/>
      <c r="F335" s="1355"/>
      <c r="G335" s="1355"/>
      <c r="H335" s="1355"/>
      <c r="I335" s="1376"/>
      <c r="J335" s="274" t="s">
        <v>64</v>
      </c>
      <c r="K335" s="1378"/>
      <c r="L335" s="1355"/>
      <c r="M335" s="1357"/>
      <c r="N335" s="1357"/>
      <c r="O335" s="1371"/>
      <c r="P335" s="1298"/>
      <c r="Q335" s="1367"/>
      <c r="R335" s="1298"/>
      <c r="S335" s="1298"/>
    </row>
    <row r="336" spans="1:19" x14ac:dyDescent="0.35">
      <c r="A336" s="1428"/>
      <c r="B336" s="1125">
        <v>302</v>
      </c>
      <c r="C336" s="23">
        <v>84.7</v>
      </c>
      <c r="D336" s="24">
        <f t="shared" si="11"/>
        <v>911.70232999999996</v>
      </c>
      <c r="E336" s="272"/>
      <c r="F336" s="272"/>
      <c r="G336" s="272"/>
      <c r="H336" s="272"/>
      <c r="I336" s="273" t="s">
        <v>8</v>
      </c>
      <c r="J336" s="274" t="s">
        <v>66</v>
      </c>
      <c r="K336" s="275"/>
      <c r="L336" s="272"/>
      <c r="M336" s="272" t="s">
        <v>8</v>
      </c>
      <c r="N336" s="272"/>
      <c r="O336" s="276"/>
      <c r="P336" s="349"/>
      <c r="Q336" s="359" t="s">
        <v>164</v>
      </c>
      <c r="R336" s="349"/>
      <c r="S336" s="349" t="s">
        <v>8</v>
      </c>
    </row>
    <row r="337" spans="1:19" x14ac:dyDescent="0.35">
      <c r="A337" s="1428"/>
      <c r="B337" s="1125">
        <v>303</v>
      </c>
      <c r="C337" s="23">
        <v>84.7</v>
      </c>
      <c r="D337" s="24">
        <f t="shared" si="11"/>
        <v>911.70232999999996</v>
      </c>
      <c r="E337" s="272"/>
      <c r="F337" s="272"/>
      <c r="G337" s="272"/>
      <c r="H337" s="272"/>
      <c r="I337" s="273" t="s">
        <v>8</v>
      </c>
      <c r="J337" s="274" t="s">
        <v>175</v>
      </c>
      <c r="K337" s="275"/>
      <c r="L337" s="272"/>
      <c r="M337" s="272" t="s">
        <v>8</v>
      </c>
      <c r="N337" s="272"/>
      <c r="O337" s="276"/>
      <c r="P337" s="351"/>
      <c r="Q337" s="359" t="s">
        <v>164</v>
      </c>
      <c r="R337" s="349"/>
      <c r="S337" s="349" t="s">
        <v>8</v>
      </c>
    </row>
    <row r="338" spans="1:19" x14ac:dyDescent="0.35">
      <c r="A338" s="1428"/>
      <c r="B338" s="1125">
        <v>304</v>
      </c>
      <c r="C338" s="23">
        <v>54.1</v>
      </c>
      <c r="D338" s="24">
        <f t="shared" si="11"/>
        <v>582.32699000000002</v>
      </c>
      <c r="E338" s="272"/>
      <c r="F338" s="272"/>
      <c r="G338" s="272"/>
      <c r="H338" s="272"/>
      <c r="I338" s="273" t="s">
        <v>8</v>
      </c>
      <c r="J338" s="274" t="s">
        <v>66</v>
      </c>
      <c r="K338" s="275" t="s">
        <v>8</v>
      </c>
      <c r="L338" s="272"/>
      <c r="M338" s="272"/>
      <c r="N338" s="272"/>
      <c r="O338" s="276"/>
      <c r="P338" s="349"/>
      <c r="Q338" s="359" t="s">
        <v>164</v>
      </c>
      <c r="R338" s="349"/>
      <c r="S338" s="349" t="s">
        <v>8</v>
      </c>
    </row>
    <row r="339" spans="1:19" x14ac:dyDescent="0.35">
      <c r="A339" s="1428"/>
      <c r="B339" s="1125">
        <v>305</v>
      </c>
      <c r="C339" s="23">
        <v>54.1</v>
      </c>
      <c r="D339" s="24">
        <f t="shared" si="11"/>
        <v>582.32699000000002</v>
      </c>
      <c r="E339" s="272"/>
      <c r="F339" s="272"/>
      <c r="G339" s="272"/>
      <c r="H339" s="272"/>
      <c r="I339" s="273" t="s">
        <v>8</v>
      </c>
      <c r="J339" s="274" t="s">
        <v>63</v>
      </c>
      <c r="K339" s="275" t="s">
        <v>8</v>
      </c>
      <c r="L339" s="272"/>
      <c r="M339" s="272"/>
      <c r="N339" s="272"/>
      <c r="O339" s="276"/>
      <c r="P339" s="349"/>
      <c r="Q339" s="359" t="s">
        <v>164</v>
      </c>
      <c r="R339" s="349"/>
      <c r="S339" s="349" t="s">
        <v>8</v>
      </c>
    </row>
    <row r="340" spans="1:19" x14ac:dyDescent="0.35">
      <c r="A340" s="1428"/>
      <c r="B340" s="1125">
        <v>306</v>
      </c>
      <c r="C340" s="23">
        <v>65.5</v>
      </c>
      <c r="D340" s="24">
        <f>SUM(C340*10.7639)</f>
        <v>705.03544999999997</v>
      </c>
      <c r="E340" s="272"/>
      <c r="F340" s="272"/>
      <c r="G340" s="272" t="s">
        <v>8</v>
      </c>
      <c r="H340" s="272"/>
      <c r="I340" s="273"/>
      <c r="J340" s="274" t="s">
        <v>175</v>
      </c>
      <c r="K340" s="275" t="s">
        <v>8</v>
      </c>
      <c r="L340" s="272"/>
      <c r="M340" s="272"/>
      <c r="N340" s="272"/>
      <c r="O340" s="276"/>
      <c r="P340" s="349"/>
      <c r="Q340" s="358" t="s">
        <v>166</v>
      </c>
      <c r="R340" s="349" t="s">
        <v>8</v>
      </c>
      <c r="S340" s="349"/>
    </row>
    <row r="341" spans="1:19" x14ac:dyDescent="0.35">
      <c r="A341" s="1428"/>
      <c r="B341" s="1125">
        <v>307</v>
      </c>
      <c r="C341" s="23">
        <v>89.5</v>
      </c>
      <c r="D341" s="24">
        <f t="shared" ref="D341:D353" si="12">SUM(C341*10.7639)</f>
        <v>963.36905000000002</v>
      </c>
      <c r="E341" s="272"/>
      <c r="F341" s="272"/>
      <c r="G341" s="272" t="s">
        <v>8</v>
      </c>
      <c r="H341" s="272"/>
      <c r="I341" s="273"/>
      <c r="J341" s="274" t="s">
        <v>159</v>
      </c>
      <c r="K341" s="275"/>
      <c r="L341" s="272"/>
      <c r="M341" s="272" t="s">
        <v>8</v>
      </c>
      <c r="N341" s="272"/>
      <c r="O341" s="276"/>
      <c r="P341" s="349"/>
      <c r="Q341" s="358" t="s">
        <v>166</v>
      </c>
      <c r="R341" s="351" t="s">
        <v>8</v>
      </c>
      <c r="S341" s="351"/>
    </row>
    <row r="342" spans="1:19" ht="28.5" customHeight="1" x14ac:dyDescent="0.35">
      <c r="A342" s="1428"/>
      <c r="B342" s="1360">
        <v>308</v>
      </c>
      <c r="C342" s="1362">
        <v>103.4</v>
      </c>
      <c r="D342" s="1364">
        <f t="shared" si="12"/>
        <v>1112.9872600000001</v>
      </c>
      <c r="E342" s="1356" t="s">
        <v>8</v>
      </c>
      <c r="F342" s="1354"/>
      <c r="G342" s="1354"/>
      <c r="H342" s="1379"/>
      <c r="I342" s="1381"/>
      <c r="J342" s="274" t="s">
        <v>63</v>
      </c>
      <c r="K342" s="1377"/>
      <c r="L342" s="1354"/>
      <c r="M342" s="1356" t="s">
        <v>8</v>
      </c>
      <c r="N342" s="1356"/>
      <c r="O342" s="1370"/>
      <c r="P342" s="1297"/>
      <c r="Q342" s="1366" t="s">
        <v>167</v>
      </c>
      <c r="R342" s="1297" t="s">
        <v>8</v>
      </c>
      <c r="S342" s="1297"/>
    </row>
    <row r="343" spans="1:19" x14ac:dyDescent="0.35">
      <c r="A343" s="1428"/>
      <c r="B343" s="1361"/>
      <c r="C343" s="1363"/>
      <c r="D343" s="1365"/>
      <c r="E343" s="1357"/>
      <c r="F343" s="1355"/>
      <c r="G343" s="1355"/>
      <c r="H343" s="1380"/>
      <c r="I343" s="1382"/>
      <c r="J343" s="274" t="s">
        <v>64</v>
      </c>
      <c r="K343" s="1378"/>
      <c r="L343" s="1355"/>
      <c r="M343" s="1357"/>
      <c r="N343" s="1357"/>
      <c r="O343" s="1371"/>
      <c r="P343" s="1322"/>
      <c r="Q343" s="1367"/>
      <c r="R343" s="1298"/>
      <c r="S343" s="1298"/>
    </row>
    <row r="344" spans="1:19" x14ac:dyDescent="0.35">
      <c r="A344" s="1428"/>
      <c r="B344" s="1360">
        <v>309</v>
      </c>
      <c r="C344" s="1362">
        <v>103.4</v>
      </c>
      <c r="D344" s="1364">
        <f t="shared" si="12"/>
        <v>1112.9872600000001</v>
      </c>
      <c r="E344" s="1356" t="s">
        <v>8</v>
      </c>
      <c r="F344" s="1354"/>
      <c r="G344" s="1354"/>
      <c r="H344" s="1354"/>
      <c r="I344" s="1375"/>
      <c r="J344" s="274" t="s">
        <v>63</v>
      </c>
      <c r="K344" s="1377"/>
      <c r="L344" s="1354"/>
      <c r="M344" s="1356" t="s">
        <v>8</v>
      </c>
      <c r="N344" s="1356"/>
      <c r="O344" s="1370"/>
      <c r="P344" s="1322"/>
      <c r="Q344" s="1366" t="s">
        <v>167</v>
      </c>
      <c r="R344" s="1297" t="s">
        <v>8</v>
      </c>
      <c r="S344" s="1297"/>
    </row>
    <row r="345" spans="1:19" x14ac:dyDescent="0.35">
      <c r="A345" s="1428"/>
      <c r="B345" s="1361"/>
      <c r="C345" s="1363"/>
      <c r="D345" s="1365"/>
      <c r="E345" s="1357"/>
      <c r="F345" s="1355"/>
      <c r="G345" s="1355"/>
      <c r="H345" s="1355"/>
      <c r="I345" s="1376"/>
      <c r="J345" s="274" t="s">
        <v>64</v>
      </c>
      <c r="K345" s="1378"/>
      <c r="L345" s="1355"/>
      <c r="M345" s="1357"/>
      <c r="N345" s="1357"/>
      <c r="O345" s="1371"/>
      <c r="P345" s="1298"/>
      <c r="Q345" s="1367"/>
      <c r="R345" s="1298"/>
      <c r="S345" s="1298"/>
    </row>
    <row r="346" spans="1:19" x14ac:dyDescent="0.35">
      <c r="A346" s="1428"/>
      <c r="B346" s="1360">
        <v>310</v>
      </c>
      <c r="C346" s="1362">
        <v>103.4</v>
      </c>
      <c r="D346" s="1364">
        <f t="shared" si="12"/>
        <v>1112.9872600000001</v>
      </c>
      <c r="E346" s="1356" t="s">
        <v>8</v>
      </c>
      <c r="F346" s="1354"/>
      <c r="G346" s="1354"/>
      <c r="H346" s="1310"/>
      <c r="I346" s="1375"/>
      <c r="J346" s="274" t="s">
        <v>63</v>
      </c>
      <c r="K346" s="1377"/>
      <c r="L346" s="1354"/>
      <c r="M346" s="1356" t="s">
        <v>8</v>
      </c>
      <c r="N346" s="1356"/>
      <c r="O346" s="1370"/>
      <c r="P346" s="1297"/>
      <c r="Q346" s="1366" t="s">
        <v>167</v>
      </c>
      <c r="R346" s="1297" t="s">
        <v>8</v>
      </c>
      <c r="S346" s="1297"/>
    </row>
    <row r="347" spans="1:19" x14ac:dyDescent="0.35">
      <c r="A347" s="1428"/>
      <c r="B347" s="1361"/>
      <c r="C347" s="1363"/>
      <c r="D347" s="1365"/>
      <c r="E347" s="1357"/>
      <c r="F347" s="1355"/>
      <c r="G347" s="1355"/>
      <c r="H347" s="1311"/>
      <c r="I347" s="1376"/>
      <c r="J347" s="274" t="s">
        <v>64</v>
      </c>
      <c r="K347" s="1378"/>
      <c r="L347" s="1355"/>
      <c r="M347" s="1357"/>
      <c r="N347" s="1357"/>
      <c r="O347" s="1371"/>
      <c r="P347" s="1298"/>
      <c r="Q347" s="1367"/>
      <c r="R347" s="1298"/>
      <c r="S347" s="1298"/>
    </row>
    <row r="348" spans="1:19" x14ac:dyDescent="0.35">
      <c r="A348" s="1428"/>
      <c r="B348" s="1125">
        <v>311</v>
      </c>
      <c r="C348" s="23">
        <v>40.1</v>
      </c>
      <c r="D348" s="24">
        <f t="shared" si="12"/>
        <v>431.63238999999999</v>
      </c>
      <c r="E348" s="272"/>
      <c r="F348" s="272"/>
      <c r="G348" s="272" t="s">
        <v>8</v>
      </c>
      <c r="H348" s="272"/>
      <c r="I348" s="273"/>
      <c r="J348" s="274" t="s">
        <v>64</v>
      </c>
      <c r="K348" s="275" t="s">
        <v>8</v>
      </c>
      <c r="L348" s="272"/>
      <c r="M348" s="272"/>
      <c r="N348" s="272"/>
      <c r="O348" s="276"/>
      <c r="P348" s="349"/>
      <c r="Q348" s="359" t="s">
        <v>164</v>
      </c>
      <c r="R348" s="349" t="s">
        <v>8</v>
      </c>
      <c r="S348" s="349"/>
    </row>
    <row r="349" spans="1:19" x14ac:dyDescent="0.35">
      <c r="A349" s="1428"/>
      <c r="B349" s="1125">
        <v>312</v>
      </c>
      <c r="C349" s="23">
        <v>42</v>
      </c>
      <c r="D349" s="24">
        <f t="shared" si="12"/>
        <v>452.0838</v>
      </c>
      <c r="E349" s="272"/>
      <c r="F349" s="272"/>
      <c r="G349" s="272" t="s">
        <v>8</v>
      </c>
      <c r="H349" s="272"/>
      <c r="I349" s="273"/>
      <c r="J349" s="274" t="s">
        <v>65</v>
      </c>
      <c r="K349" s="275" t="s">
        <v>8</v>
      </c>
      <c r="L349" s="272"/>
      <c r="M349" s="272"/>
      <c r="N349" s="272"/>
      <c r="O349" s="276"/>
      <c r="P349" s="349"/>
      <c r="Q349" s="359" t="s">
        <v>164</v>
      </c>
      <c r="R349" s="349" t="s">
        <v>8</v>
      </c>
      <c r="S349" s="349"/>
    </row>
    <row r="350" spans="1:19" x14ac:dyDescent="0.35">
      <c r="A350" s="1428"/>
      <c r="B350" s="1125">
        <v>313</v>
      </c>
      <c r="C350" s="23">
        <v>42</v>
      </c>
      <c r="D350" s="24">
        <f t="shared" si="12"/>
        <v>452.0838</v>
      </c>
      <c r="E350" s="272"/>
      <c r="F350" s="272"/>
      <c r="G350" s="272" t="s">
        <v>8</v>
      </c>
      <c r="H350" s="272"/>
      <c r="I350" s="273"/>
      <c r="J350" s="274" t="s">
        <v>65</v>
      </c>
      <c r="K350" s="275" t="s">
        <v>8</v>
      </c>
      <c r="L350" s="272"/>
      <c r="M350" s="272"/>
      <c r="N350" s="272"/>
      <c r="O350" s="276"/>
      <c r="P350" s="349"/>
      <c r="Q350" s="359" t="s">
        <v>164</v>
      </c>
      <c r="R350" s="349" t="s">
        <v>8</v>
      </c>
      <c r="S350" s="349"/>
    </row>
    <row r="351" spans="1:19" x14ac:dyDescent="0.35">
      <c r="A351" s="1428"/>
      <c r="B351" s="1125">
        <v>314</v>
      </c>
      <c r="C351" s="23">
        <v>80.099999999999994</v>
      </c>
      <c r="D351" s="24">
        <f t="shared" si="12"/>
        <v>862.18838999999991</v>
      </c>
      <c r="E351" s="272"/>
      <c r="F351" s="272"/>
      <c r="G351" s="272" t="s">
        <v>8</v>
      </c>
      <c r="H351" s="272"/>
      <c r="I351" s="273"/>
      <c r="J351" s="274" t="s">
        <v>66</v>
      </c>
      <c r="K351" s="275"/>
      <c r="L351" s="272" t="s">
        <v>8</v>
      </c>
      <c r="M351" s="272"/>
      <c r="N351" s="272"/>
      <c r="O351" s="276"/>
      <c r="P351" s="349"/>
      <c r="Q351" s="359" t="s">
        <v>166</v>
      </c>
      <c r="R351" s="351" t="s">
        <v>8</v>
      </c>
      <c r="S351" s="351"/>
    </row>
    <row r="352" spans="1:19" x14ac:dyDescent="0.35">
      <c r="A352" s="1428"/>
      <c r="B352" s="1125">
        <v>315</v>
      </c>
      <c r="C352" s="23">
        <v>80.099999999999994</v>
      </c>
      <c r="D352" s="24">
        <f t="shared" si="12"/>
        <v>862.18838999999991</v>
      </c>
      <c r="E352" s="272"/>
      <c r="F352" s="272"/>
      <c r="G352" s="272" t="s">
        <v>8</v>
      </c>
      <c r="H352" s="272"/>
      <c r="I352" s="273"/>
      <c r="J352" s="274" t="s">
        <v>66</v>
      </c>
      <c r="K352" s="275"/>
      <c r="L352" s="272" t="s">
        <v>8</v>
      </c>
      <c r="M352" s="272"/>
      <c r="N352" s="272"/>
      <c r="O352" s="348"/>
      <c r="P352" s="1117"/>
      <c r="Q352" s="358" t="s">
        <v>166</v>
      </c>
      <c r="R352" s="349" t="s">
        <v>8</v>
      </c>
      <c r="S352" s="349"/>
    </row>
    <row r="353" spans="1:24" ht="18" thickBot="1" x14ac:dyDescent="0.4">
      <c r="A353" s="1518"/>
      <c r="B353" s="1127">
        <v>316</v>
      </c>
      <c r="C353" s="1128">
        <v>40.1</v>
      </c>
      <c r="D353" s="1129">
        <f t="shared" si="12"/>
        <v>431.63238999999999</v>
      </c>
      <c r="E353" s="430"/>
      <c r="F353" s="430"/>
      <c r="G353" s="430" t="s">
        <v>8</v>
      </c>
      <c r="H353" s="430"/>
      <c r="I353" s="431"/>
      <c r="J353" s="432" t="s">
        <v>64</v>
      </c>
      <c r="K353" s="433" t="s">
        <v>8</v>
      </c>
      <c r="L353" s="430"/>
      <c r="M353" s="430"/>
      <c r="N353" s="430"/>
      <c r="O353" s="1118"/>
      <c r="P353" s="1116"/>
      <c r="Q353" s="359" t="s">
        <v>164</v>
      </c>
      <c r="R353" s="349" t="s">
        <v>8</v>
      </c>
      <c r="S353" s="349"/>
      <c r="X353" s="33"/>
    </row>
    <row r="354" spans="1:24" ht="17.25" customHeight="1" x14ac:dyDescent="0.35">
      <c r="A354" s="1307" t="s">
        <v>161</v>
      </c>
      <c r="B354" s="296" t="s">
        <v>9</v>
      </c>
      <c r="C354" s="28">
        <v>69.25</v>
      </c>
      <c r="D354" s="29">
        <f t="shared" ref="D354:D359" si="13">SUM(C354*10.7639)</f>
        <v>745.40007500000002</v>
      </c>
      <c r="E354" s="30"/>
      <c r="F354" s="30"/>
      <c r="G354" s="30"/>
      <c r="H354" s="30"/>
      <c r="I354" s="174"/>
      <c r="J354" s="177"/>
      <c r="K354" s="32"/>
      <c r="L354" s="30"/>
      <c r="M354" s="30"/>
      <c r="N354" s="30"/>
      <c r="O354" s="31"/>
      <c r="P354" s="353"/>
      <c r="Q354" s="353"/>
      <c r="R354" s="353"/>
      <c r="S354" s="353"/>
    </row>
    <row r="355" spans="1:24" x14ac:dyDescent="0.35">
      <c r="A355" s="1308"/>
      <c r="B355" s="297" t="s">
        <v>10</v>
      </c>
      <c r="C355" s="23">
        <v>71.569999999999993</v>
      </c>
      <c r="D355" s="24">
        <f t="shared" si="13"/>
        <v>770.37232299999994</v>
      </c>
      <c r="E355" s="6"/>
      <c r="F355" s="6"/>
      <c r="G355" s="6"/>
      <c r="H355" s="6"/>
      <c r="I355" s="173"/>
      <c r="J355" s="176"/>
      <c r="K355" s="7"/>
      <c r="L355" s="6"/>
      <c r="M355" s="6"/>
      <c r="N355" s="6"/>
      <c r="O355" s="8"/>
      <c r="P355" s="349"/>
      <c r="Q355" s="349"/>
      <c r="R355" s="349"/>
      <c r="S355" s="349"/>
      <c r="T355" s="33"/>
      <c r="U355" s="33"/>
      <c r="V355" s="33"/>
    </row>
    <row r="356" spans="1:24" x14ac:dyDescent="0.35">
      <c r="A356" s="1308"/>
      <c r="B356" s="297" t="s">
        <v>11</v>
      </c>
      <c r="C356" s="23">
        <v>75</v>
      </c>
      <c r="D356" s="24">
        <f t="shared" si="13"/>
        <v>807.29250000000002</v>
      </c>
      <c r="E356" s="6"/>
      <c r="F356" s="6"/>
      <c r="G356" s="6"/>
      <c r="H356" s="6"/>
      <c r="I356" s="173"/>
      <c r="J356" s="176"/>
      <c r="K356" s="7"/>
      <c r="L356" s="6"/>
      <c r="M356" s="6"/>
      <c r="N356" s="6"/>
      <c r="O356" s="8"/>
      <c r="P356" s="349"/>
      <c r="Q356" s="349"/>
      <c r="R356" s="349"/>
      <c r="S356" s="349"/>
      <c r="T356" s="33"/>
      <c r="U356" s="33"/>
      <c r="V356" s="33"/>
      <c r="W356" s="33"/>
      <c r="X356" s="33"/>
    </row>
    <row r="357" spans="1:24" x14ac:dyDescent="0.35">
      <c r="A357" s="1308"/>
      <c r="B357" s="297" t="s">
        <v>12</v>
      </c>
      <c r="C357" s="23">
        <v>47</v>
      </c>
      <c r="D357" s="24">
        <f t="shared" si="13"/>
        <v>505.9033</v>
      </c>
      <c r="E357" s="6"/>
      <c r="F357" s="6"/>
      <c r="G357" s="6"/>
      <c r="H357" s="6"/>
      <c r="I357" s="173"/>
      <c r="J357" s="176"/>
      <c r="K357" s="7"/>
      <c r="L357" s="6"/>
      <c r="M357" s="6"/>
      <c r="N357" s="6"/>
      <c r="O357" s="8"/>
      <c r="P357" s="351"/>
      <c r="Q357" s="351"/>
      <c r="R357" s="351"/>
      <c r="S357" s="351"/>
      <c r="T357" s="33"/>
    </row>
    <row r="358" spans="1:24" ht="33.75" customHeight="1" thickBot="1" x14ac:dyDescent="0.4">
      <c r="A358" s="1309"/>
      <c r="B358" s="297" t="s">
        <v>13</v>
      </c>
      <c r="C358" s="23">
        <v>47</v>
      </c>
      <c r="D358" s="24">
        <f t="shared" si="13"/>
        <v>505.9033</v>
      </c>
      <c r="E358" s="6"/>
      <c r="F358" s="6"/>
      <c r="G358" s="6"/>
      <c r="H358" s="6"/>
      <c r="I358" s="173"/>
      <c r="J358" s="176"/>
      <c r="K358" s="7"/>
      <c r="L358" s="6"/>
      <c r="M358" s="6"/>
      <c r="N358" s="6"/>
      <c r="O358" s="8"/>
      <c r="P358" s="352"/>
      <c r="Q358" s="352"/>
      <c r="R358" s="352"/>
      <c r="S358" s="352"/>
    </row>
    <row r="359" spans="1:24" ht="17.25" customHeight="1" x14ac:dyDescent="0.3">
      <c r="A359" s="1307" t="s">
        <v>162</v>
      </c>
      <c r="B359" s="1436" t="s">
        <v>14</v>
      </c>
      <c r="C359" s="1438">
        <v>169.5</v>
      </c>
      <c r="D359" s="1364">
        <f t="shared" si="13"/>
        <v>1824.4810499999999</v>
      </c>
      <c r="E359" s="1310"/>
      <c r="F359" s="1310"/>
      <c r="G359" s="1310"/>
      <c r="H359" s="1310"/>
      <c r="I359" s="1312"/>
      <c r="J359" s="1314"/>
      <c r="K359" s="1316"/>
      <c r="L359" s="1310"/>
      <c r="M359" s="1310"/>
      <c r="N359" s="1310"/>
      <c r="O359" s="1318"/>
      <c r="P359" s="1320"/>
      <c r="Q359" s="1320"/>
      <c r="R359" s="1320"/>
      <c r="S359" s="1320"/>
    </row>
    <row r="360" spans="1:24" ht="67.5" customHeight="1" thickBot="1" x14ac:dyDescent="0.35">
      <c r="A360" s="1309"/>
      <c r="B360" s="1437"/>
      <c r="C360" s="1439"/>
      <c r="D360" s="1365"/>
      <c r="E360" s="1311"/>
      <c r="F360" s="1311"/>
      <c r="G360" s="1311"/>
      <c r="H360" s="1311"/>
      <c r="I360" s="1313"/>
      <c r="J360" s="1315"/>
      <c r="K360" s="1317"/>
      <c r="L360" s="1311"/>
      <c r="M360" s="1311"/>
      <c r="N360" s="1311"/>
      <c r="O360" s="1319"/>
      <c r="P360" s="1321"/>
      <c r="Q360" s="1321"/>
      <c r="R360" s="1321"/>
      <c r="S360" s="1321"/>
    </row>
    <row r="361" spans="1:24" x14ac:dyDescent="0.35">
      <c r="A361" s="284"/>
      <c r="B361" s="298" t="s">
        <v>38</v>
      </c>
      <c r="C361" s="178">
        <f>SUM(C354:C359)</f>
        <v>479.32</v>
      </c>
      <c r="D361" s="179">
        <f>SUM(D354:D359)</f>
        <v>5159.3525479999998</v>
      </c>
      <c r="E361" s="6"/>
      <c r="F361" s="6"/>
      <c r="G361" s="6"/>
      <c r="H361" s="6"/>
      <c r="I361" s="173"/>
      <c r="J361" s="176"/>
      <c r="K361" s="7"/>
      <c r="L361" s="6"/>
      <c r="M361" s="6"/>
      <c r="N361" s="6"/>
      <c r="O361" s="8"/>
      <c r="P361" s="352"/>
      <c r="Q361" s="352"/>
      <c r="R361" s="352"/>
      <c r="S361" s="352"/>
    </row>
    <row r="362" spans="1:24" x14ac:dyDescent="0.35">
      <c r="A362" s="284"/>
      <c r="B362" s="599" t="s">
        <v>326</v>
      </c>
      <c r="C362" s="17">
        <f>SUM(C354:C358)</f>
        <v>309.82</v>
      </c>
      <c r="D362" s="600">
        <f>SUM(D354:D358)</f>
        <v>3334.871498</v>
      </c>
      <c r="E362" s="6"/>
      <c r="F362" s="6"/>
      <c r="G362" s="6"/>
      <c r="H362" s="6"/>
      <c r="I362" s="173"/>
      <c r="J362" s="176"/>
      <c r="K362" s="7"/>
      <c r="L362" s="6"/>
      <c r="M362" s="6"/>
      <c r="N362" s="6"/>
      <c r="O362" s="8"/>
      <c r="P362" s="352"/>
      <c r="Q362" s="352"/>
      <c r="R362" s="352"/>
      <c r="S362" s="352"/>
    </row>
    <row r="363" spans="1:24" ht="18" thickBot="1" x14ac:dyDescent="0.4">
      <c r="A363" s="284"/>
      <c r="B363" s="299"/>
      <c r="C363" s="300"/>
      <c r="D363" s="300"/>
      <c r="E363" s="301"/>
      <c r="F363" s="301"/>
      <c r="G363" s="301"/>
      <c r="H363" s="301"/>
      <c r="I363" s="175"/>
      <c r="J363" s="302"/>
      <c r="K363" s="7"/>
      <c r="L363" s="6"/>
      <c r="M363" s="6"/>
      <c r="N363" s="6"/>
      <c r="O363" s="8"/>
      <c r="P363" s="354"/>
      <c r="Q363" s="354"/>
      <c r="R363" s="354"/>
      <c r="S363" s="354"/>
    </row>
    <row r="364" spans="1:24" ht="30.75" thickBot="1" x14ac:dyDescent="0.4">
      <c r="A364" s="284"/>
      <c r="B364" s="9" t="s">
        <v>5</v>
      </c>
      <c r="C364" s="18"/>
      <c r="D364" s="22"/>
      <c r="E364" s="10">
        <f>COUNTA(E6:E363)</f>
        <v>104</v>
      </c>
      <c r="F364" s="10">
        <f>COUNTA(F6:F363)</f>
        <v>3</v>
      </c>
      <c r="G364" s="10">
        <f>COUNTA(G6:G363)</f>
        <v>64</v>
      </c>
      <c r="H364" s="10">
        <f>COUNTA(H6:H363)</f>
        <v>27</v>
      </c>
      <c r="I364" s="10">
        <f>COUNTA(I6:I363)</f>
        <v>119</v>
      </c>
      <c r="J364" s="10">
        <f>SUM(E364:I364)</f>
        <v>317</v>
      </c>
      <c r="K364" s="14">
        <f>COUNTA(K6:K363)</f>
        <v>139</v>
      </c>
      <c r="L364" s="15">
        <f>COUNTA(L6:L363)</f>
        <v>96</v>
      </c>
      <c r="M364" s="15">
        <f>COUNTA(M6:M363)</f>
        <v>69</v>
      </c>
      <c r="N364" s="15">
        <f>COUNTA(N6:N363)</f>
        <v>13</v>
      </c>
      <c r="O364" s="16">
        <f>COUNTA(O6:O363)</f>
        <v>0</v>
      </c>
      <c r="P364" s="45">
        <f>COUNTA(P6:P353)</f>
        <v>27</v>
      </c>
      <c r="Q364" s="107">
        <f>COUNTA(Q6:Q353)</f>
        <v>317</v>
      </c>
      <c r="R364" s="107">
        <f>COUNTA(R6:R353)</f>
        <v>166</v>
      </c>
      <c r="S364" s="107">
        <f>COUNTA(S6:S353)</f>
        <v>151</v>
      </c>
    </row>
    <row r="365" spans="1:24" ht="30.75" thickBot="1" x14ac:dyDescent="0.4">
      <c r="A365" s="1123"/>
      <c r="B365" s="1121" t="s">
        <v>115</v>
      </c>
      <c r="C365" s="1515">
        <f>SUM(C6:C353)</f>
        <v>22694.200000000077</v>
      </c>
      <c r="D365" s="1516"/>
      <c r="E365" s="1516"/>
      <c r="F365" s="1516"/>
      <c r="G365" s="1516"/>
      <c r="H365" s="1516"/>
      <c r="I365" s="1516"/>
      <c r="J365" s="1517"/>
      <c r="K365" s="11">
        <f>SUM(1/K366*K364)</f>
        <v>0.43848580441640378</v>
      </c>
      <c r="L365" s="12">
        <f>SUM(1/K366*L364)</f>
        <v>0.30283911671924291</v>
      </c>
      <c r="M365" s="12">
        <f>SUM(1/K366*M364)</f>
        <v>0.21766561514195584</v>
      </c>
      <c r="N365" s="12">
        <f>SUM(1/K366*N364)</f>
        <v>4.1009463722397478E-2</v>
      </c>
      <c r="O365" s="13">
        <f>SUM(1/K366*O364)</f>
        <v>0</v>
      </c>
      <c r="P365" s="356">
        <f>SUM(1/K366*P364)</f>
        <v>8.5173501577287064E-2</v>
      </c>
      <c r="Q365" s="356"/>
      <c r="R365" s="356"/>
      <c r="S365" s="356"/>
    </row>
    <row r="366" spans="1:24" ht="45.75" thickBot="1" x14ac:dyDescent="0.4">
      <c r="A366" s="1123"/>
      <c r="B366" s="1122" t="s">
        <v>116</v>
      </c>
      <c r="C366" s="1512">
        <f>SUM(C6:C359)</f>
        <v>23173.520000000077</v>
      </c>
      <c r="D366" s="1513"/>
      <c r="E366" s="1513"/>
      <c r="F366" s="1513"/>
      <c r="G366" s="1513"/>
      <c r="H366" s="1513"/>
      <c r="I366" s="1513"/>
      <c r="J366" s="1514"/>
      <c r="K366" s="1443">
        <f>SUM(K364:O364)</f>
        <v>317</v>
      </c>
      <c r="L366" s="1444"/>
      <c r="M366" s="1444"/>
      <c r="N366" s="1444"/>
      <c r="O366" s="1445"/>
      <c r="P366" s="355"/>
      <c r="Q366" s="355"/>
      <c r="R366" s="355"/>
      <c r="S366" s="355"/>
    </row>
    <row r="367" spans="1:24" ht="45.75" thickBot="1" x14ac:dyDescent="0.4">
      <c r="A367" s="284"/>
      <c r="B367" s="283" t="s">
        <v>117</v>
      </c>
      <c r="C367" s="1509">
        <f>SUM(C366*10.7639)</f>
        <v>249437.45192800081</v>
      </c>
      <c r="D367" s="1510"/>
      <c r="E367" s="1510"/>
      <c r="F367" s="1510"/>
      <c r="G367" s="1510"/>
      <c r="H367" s="1510"/>
      <c r="I367" s="1510"/>
      <c r="J367" s="1511"/>
      <c r="K367" s="1446"/>
      <c r="L367" s="1447"/>
      <c r="M367" s="1447"/>
      <c r="N367" s="1447"/>
      <c r="O367" s="1448"/>
      <c r="P367" s="1120"/>
      <c r="Q367" s="1120"/>
      <c r="R367" s="1120"/>
      <c r="S367" s="1120"/>
    </row>
    <row r="369" spans="1:17" x14ac:dyDescent="0.35">
      <c r="A369" s="26" t="s">
        <v>27</v>
      </c>
      <c r="B369" s="285"/>
      <c r="C369" s="26"/>
      <c r="D369" s="26"/>
      <c r="E369" s="27"/>
      <c r="F369" s="27"/>
      <c r="G369" s="27"/>
      <c r="H369" s="27"/>
      <c r="I369" s="27"/>
      <c r="J369" s="27"/>
      <c r="K369" s="26"/>
      <c r="L369" s="27"/>
      <c r="M369" s="27"/>
      <c r="N369" s="27"/>
      <c r="O369" s="27"/>
      <c r="P369" s="27"/>
      <c r="Q369" s="27"/>
    </row>
    <row r="370" spans="1:17" ht="29.25" customHeight="1" x14ac:dyDescent="0.3">
      <c r="A370" s="1507" t="s">
        <v>88</v>
      </c>
      <c r="B370" s="1507"/>
      <c r="C370" s="1508"/>
      <c r="D370" s="265" t="s">
        <v>31</v>
      </c>
      <c r="E370" s="217" t="s">
        <v>32</v>
      </c>
      <c r="F370" s="1431" t="s">
        <v>33</v>
      </c>
      <c r="G370" s="1431"/>
      <c r="H370" s="1431"/>
      <c r="I370" s="1432" t="s">
        <v>34</v>
      </c>
      <c r="J370" s="1432"/>
      <c r="K370" s="267" t="s">
        <v>86</v>
      </c>
      <c r="L370" s="103" t="s">
        <v>93</v>
      </c>
      <c r="M370" s="266" t="s">
        <v>42</v>
      </c>
      <c r="O370" s="1431" t="s">
        <v>35</v>
      </c>
      <c r="P370" s="1476"/>
      <c r="Q370" s="266" t="s">
        <v>39</v>
      </c>
    </row>
    <row r="371" spans="1:17" x14ac:dyDescent="0.35">
      <c r="A371" s="1399" t="s">
        <v>89</v>
      </c>
      <c r="B371" s="1440"/>
      <c r="C371" s="1441"/>
      <c r="D371" s="103">
        <v>0</v>
      </c>
      <c r="E371" s="268">
        <v>34.6</v>
      </c>
      <c r="F371" s="1430">
        <v>0</v>
      </c>
      <c r="G371" s="1430"/>
      <c r="H371" s="1430"/>
      <c r="I371" s="1430">
        <v>0</v>
      </c>
      <c r="J371" s="1430"/>
      <c r="K371" s="70">
        <v>47.5</v>
      </c>
      <c r="L371" s="263">
        <f t="shared" ref="L371:L378" si="14">SUM(D371:K371)</f>
        <v>82.1</v>
      </c>
      <c r="M371" s="269">
        <f>SUM(L371*10.7639)</f>
        <v>883.71618999999987</v>
      </c>
      <c r="O371" s="1430">
        <v>140</v>
      </c>
      <c r="P371" s="1455"/>
      <c r="Q371" s="103">
        <v>0</v>
      </c>
    </row>
    <row r="372" spans="1:17" x14ac:dyDescent="0.35">
      <c r="A372" s="1392" t="s">
        <v>20</v>
      </c>
      <c r="B372" s="1331"/>
      <c r="C372" s="1332"/>
      <c r="D372" s="103">
        <v>0</v>
      </c>
      <c r="E372" s="103">
        <v>14.6</v>
      </c>
      <c r="F372" s="1449">
        <v>0</v>
      </c>
      <c r="G372" s="1449"/>
      <c r="H372" s="1449"/>
      <c r="I372" s="1449">
        <v>0</v>
      </c>
      <c r="J372" s="1449"/>
      <c r="K372" s="70">
        <v>40</v>
      </c>
      <c r="L372" s="219">
        <f t="shared" si="14"/>
        <v>54.6</v>
      </c>
      <c r="M372" s="269">
        <f t="shared" ref="M372:M378" si="15">SUM(L372*10.7639)</f>
        <v>587.70893999999998</v>
      </c>
      <c r="O372" s="1449">
        <v>110.2</v>
      </c>
      <c r="P372" s="1457"/>
      <c r="Q372" s="103">
        <v>11.4</v>
      </c>
    </row>
    <row r="373" spans="1:17" x14ac:dyDescent="0.35">
      <c r="A373" s="1392" t="s">
        <v>21</v>
      </c>
      <c r="B373" s="1331"/>
      <c r="C373" s="1332"/>
      <c r="D373" s="103">
        <v>43.9</v>
      </c>
      <c r="E373" s="103">
        <v>12.1</v>
      </c>
      <c r="F373" s="1449">
        <v>52.5</v>
      </c>
      <c r="G373" s="1449"/>
      <c r="H373" s="1449"/>
      <c r="I373" s="1449">
        <v>0</v>
      </c>
      <c r="J373" s="1449"/>
      <c r="K373" s="70">
        <v>38.9</v>
      </c>
      <c r="L373" s="219">
        <f t="shared" si="14"/>
        <v>147.4</v>
      </c>
      <c r="M373" s="269">
        <f t="shared" si="15"/>
        <v>1586.5988600000001</v>
      </c>
      <c r="O373" s="1449">
        <v>59.9</v>
      </c>
      <c r="P373" s="1457"/>
      <c r="Q373" s="103">
        <v>9.8000000000000007</v>
      </c>
    </row>
    <row r="374" spans="1:17" x14ac:dyDescent="0.35">
      <c r="A374" s="1392" t="s">
        <v>22</v>
      </c>
      <c r="B374" s="1331"/>
      <c r="C374" s="1331"/>
      <c r="D374" s="264">
        <v>127.8</v>
      </c>
      <c r="E374" s="103">
        <v>14.8</v>
      </c>
      <c r="F374" s="1449">
        <v>40.200000000000003</v>
      </c>
      <c r="G374" s="1449"/>
      <c r="H374" s="1449"/>
      <c r="I374" s="1449">
        <v>0</v>
      </c>
      <c r="J374" s="1449"/>
      <c r="K374" s="70">
        <v>20</v>
      </c>
      <c r="L374" s="219">
        <f t="shared" si="14"/>
        <v>202.8</v>
      </c>
      <c r="M374" s="269">
        <f t="shared" si="15"/>
        <v>2182.9189200000001</v>
      </c>
      <c r="O374" s="1449">
        <v>119</v>
      </c>
      <c r="P374" s="1457"/>
      <c r="Q374" s="103">
        <v>0</v>
      </c>
    </row>
    <row r="375" spans="1:17" x14ac:dyDescent="0.35">
      <c r="A375" s="1392" t="s">
        <v>87</v>
      </c>
      <c r="B375" s="1331"/>
      <c r="C375" s="1332"/>
      <c r="D375" s="103">
        <v>0</v>
      </c>
      <c r="E375" s="103">
        <v>44.3</v>
      </c>
      <c r="F375" s="1449">
        <v>11.9</v>
      </c>
      <c r="G375" s="1449"/>
      <c r="H375" s="1449"/>
      <c r="I375" s="1449">
        <v>55.25</v>
      </c>
      <c r="J375" s="1449"/>
      <c r="K375" s="70">
        <v>65.3</v>
      </c>
      <c r="L375" s="219">
        <f t="shared" si="14"/>
        <v>176.75</v>
      </c>
      <c r="M375" s="269">
        <f t="shared" si="15"/>
        <v>1902.519325</v>
      </c>
      <c r="O375" s="1449">
        <v>380.3</v>
      </c>
      <c r="P375" s="1457"/>
      <c r="Q375" s="103">
        <v>38.5</v>
      </c>
    </row>
    <row r="376" spans="1:17" x14ac:dyDescent="0.35">
      <c r="A376" s="1392" t="s">
        <v>24</v>
      </c>
      <c r="B376" s="1331"/>
      <c r="C376" s="1332"/>
      <c r="D376" s="103">
        <v>0</v>
      </c>
      <c r="E376" s="103">
        <v>44.3</v>
      </c>
      <c r="F376" s="1449">
        <v>32</v>
      </c>
      <c r="G376" s="1449"/>
      <c r="H376" s="1449"/>
      <c r="I376" s="1449">
        <v>1345.7</v>
      </c>
      <c r="J376" s="1449"/>
      <c r="K376" s="70">
        <v>24.1</v>
      </c>
      <c r="L376" s="219">
        <f t="shared" si="14"/>
        <v>1446.1</v>
      </c>
      <c r="M376" s="269">
        <f t="shared" si="15"/>
        <v>15565.675789999998</v>
      </c>
      <c r="O376" s="1449">
        <v>40.6</v>
      </c>
      <c r="P376" s="1457"/>
      <c r="Q376" s="103">
        <v>210.5</v>
      </c>
    </row>
    <row r="377" spans="1:17" x14ac:dyDescent="0.35">
      <c r="A377" s="1392" t="s">
        <v>25</v>
      </c>
      <c r="B377" s="1331"/>
      <c r="C377" s="1331"/>
      <c r="D377" s="264">
        <v>0</v>
      </c>
      <c r="E377" s="103">
        <v>0</v>
      </c>
      <c r="F377" s="1449">
        <v>0</v>
      </c>
      <c r="G377" s="1449"/>
      <c r="H377" s="1449"/>
      <c r="I377" s="1449">
        <v>219.4</v>
      </c>
      <c r="J377" s="1449"/>
      <c r="K377" s="70">
        <v>7.8</v>
      </c>
      <c r="L377" s="219">
        <f t="shared" si="14"/>
        <v>227.20000000000002</v>
      </c>
      <c r="M377" s="269">
        <f t="shared" si="15"/>
        <v>2445.5580800000002</v>
      </c>
      <c r="O377" s="1449">
        <v>97.5</v>
      </c>
      <c r="P377" s="1457"/>
      <c r="Q377" s="103">
        <v>61.1</v>
      </c>
    </row>
    <row r="378" spans="1:17" x14ac:dyDescent="0.35">
      <c r="A378" s="1468" t="s">
        <v>26</v>
      </c>
      <c r="B378" s="1469"/>
      <c r="C378" s="1470"/>
      <c r="D378" s="161">
        <v>0</v>
      </c>
      <c r="E378" s="161">
        <v>89.8</v>
      </c>
      <c r="F378" s="1454">
        <v>0</v>
      </c>
      <c r="G378" s="1454"/>
      <c r="H378" s="1454"/>
      <c r="I378" s="1454">
        <v>485.5</v>
      </c>
      <c r="J378" s="1454"/>
      <c r="K378" s="162">
        <v>42</v>
      </c>
      <c r="L378" s="219">
        <f t="shared" si="14"/>
        <v>617.29999999999995</v>
      </c>
      <c r="M378" s="270">
        <f t="shared" si="15"/>
        <v>6644.5554699999993</v>
      </c>
      <c r="O378" s="1454">
        <v>129.19999999999999</v>
      </c>
      <c r="P378" s="1456"/>
      <c r="Q378" s="161">
        <v>83.8</v>
      </c>
    </row>
    <row r="379" spans="1:17" x14ac:dyDescent="0.35">
      <c r="A379" s="1489" t="s">
        <v>36</v>
      </c>
      <c r="B379" s="1490"/>
      <c r="C379" s="1491"/>
      <c r="D379" s="219">
        <f>SUM(D371:D378)</f>
        <v>171.7</v>
      </c>
      <c r="E379" s="219">
        <f>SUM(E371:E378)</f>
        <v>254.5</v>
      </c>
      <c r="F379" s="1440">
        <f t="shared" ref="F379:L379" si="16">SUM(F371:F378)</f>
        <v>136.60000000000002</v>
      </c>
      <c r="G379" s="1440"/>
      <c r="H379" s="1440"/>
      <c r="I379" s="1440">
        <f t="shared" si="16"/>
        <v>2105.8500000000004</v>
      </c>
      <c r="J379" s="1440"/>
      <c r="K379" s="96">
        <f t="shared" si="16"/>
        <v>285.60000000000002</v>
      </c>
      <c r="L379" s="262">
        <f t="shared" si="16"/>
        <v>2954.25</v>
      </c>
      <c r="M379" s="271">
        <f>SUM(M371:M378)</f>
        <v>31799.251574999995</v>
      </c>
      <c r="O379" s="1440">
        <f>SUM(O371:O378)</f>
        <v>1076.7</v>
      </c>
      <c r="P379" s="1441"/>
      <c r="Q379" s="25">
        <f>SUM(Q371:Q378)</f>
        <v>415.1</v>
      </c>
    </row>
    <row r="380" spans="1:17" x14ac:dyDescent="0.35">
      <c r="K380" s="2"/>
      <c r="O380" s="220" t="s">
        <v>93</v>
      </c>
      <c r="P380" s="1331">
        <f>SUM(O379:Q379)</f>
        <v>1491.8000000000002</v>
      </c>
      <c r="Q380" s="1331"/>
    </row>
    <row r="381" spans="1:17" x14ac:dyDescent="0.35">
      <c r="A381" s="220" t="s">
        <v>90</v>
      </c>
      <c r="B381" s="220"/>
      <c r="C381" s="25"/>
      <c r="K381" s="2"/>
      <c r="O381" s="220" t="s">
        <v>112</v>
      </c>
      <c r="P381" s="1530">
        <f>SUM(P380*10.7639)</f>
        <v>16057.586020000001</v>
      </c>
      <c r="Q381" s="1530"/>
    </row>
    <row r="382" spans="1:17" x14ac:dyDescent="0.35">
      <c r="A382" s="25" t="s">
        <v>91</v>
      </c>
      <c r="C382" s="25">
        <v>8</v>
      </c>
      <c r="K382" s="2"/>
    </row>
    <row r="383" spans="1:17" x14ac:dyDescent="0.35">
      <c r="A383" s="25"/>
      <c r="C383" s="25"/>
      <c r="K383" s="2"/>
    </row>
    <row r="384" spans="1:17" x14ac:dyDescent="0.35">
      <c r="A384" s="25"/>
      <c r="C384" s="25"/>
      <c r="K384" s="2"/>
    </row>
    <row r="385" spans="1:19" x14ac:dyDescent="0.35">
      <c r="K385" s="2"/>
    </row>
    <row r="386" spans="1:19" ht="18" thickBot="1" x14ac:dyDescent="0.4">
      <c r="A386" s="1353" t="s">
        <v>114</v>
      </c>
      <c r="B386" s="1353"/>
      <c r="C386" s="1353"/>
      <c r="D386" s="1353"/>
      <c r="E386" s="1353"/>
      <c r="F386" s="220"/>
      <c r="G386" s="220"/>
      <c r="H386" s="220"/>
      <c r="J386" s="220"/>
      <c r="K386" s="220"/>
      <c r="L386" s="220"/>
      <c r="M386" s="220"/>
      <c r="N386" s="220"/>
      <c r="O386" s="220"/>
    </row>
    <row r="387" spans="1:19" ht="27.75" customHeight="1" thickTop="1" x14ac:dyDescent="0.3">
      <c r="A387" s="1501" t="s">
        <v>88</v>
      </c>
      <c r="B387" s="1501"/>
      <c r="C387" s="1505"/>
      <c r="D387" s="236" t="s">
        <v>4</v>
      </c>
      <c r="E387" s="237" t="s">
        <v>18</v>
      </c>
      <c r="F387" s="245"/>
      <c r="G387" s="245"/>
      <c r="H387" s="245"/>
      <c r="J387" s="244"/>
      <c r="K387" s="243" t="s">
        <v>415</v>
      </c>
      <c r="L387" s="477" t="s">
        <v>416</v>
      </c>
      <c r="M387" s="477" t="s">
        <v>417</v>
      </c>
      <c r="N387" s="103"/>
      <c r="O387" s="103"/>
    </row>
    <row r="388" spans="1:19" x14ac:dyDescent="0.35">
      <c r="A388" s="1440" t="s">
        <v>89</v>
      </c>
      <c r="B388" s="1440"/>
      <c r="C388" s="1441"/>
      <c r="D388" s="238">
        <v>30.4</v>
      </c>
      <c r="E388" s="241">
        <f t="shared" ref="E388:E395" si="17">SUM(D388*10.674)</f>
        <v>324.4896</v>
      </c>
      <c r="F388" s="103"/>
      <c r="G388" s="103"/>
      <c r="H388" s="244"/>
      <c r="I388" s="25"/>
      <c r="J388" s="25"/>
      <c r="K388" s="284" t="s">
        <v>31</v>
      </c>
      <c r="L388" s="103">
        <v>171.7</v>
      </c>
      <c r="M388" s="246">
        <f>SUM(L388*10.7639)</f>
        <v>1848.1616299999998</v>
      </c>
      <c r="N388" s="103"/>
      <c r="O388" s="103"/>
    </row>
    <row r="389" spans="1:19" x14ac:dyDescent="0.35">
      <c r="A389" s="1462" t="s">
        <v>20</v>
      </c>
      <c r="B389" s="1462"/>
      <c r="C389" s="1463"/>
      <c r="D389" s="235">
        <v>24.6</v>
      </c>
      <c r="E389" s="242">
        <f t="shared" si="17"/>
        <v>262.5804</v>
      </c>
      <c r="F389" s="103"/>
      <c r="G389" s="103"/>
      <c r="H389" s="103"/>
      <c r="I389" s="25"/>
      <c r="J389" s="25"/>
      <c r="K389" s="284" t="s">
        <v>32</v>
      </c>
      <c r="L389" s="219">
        <v>254.5</v>
      </c>
      <c r="M389" s="246">
        <f t="shared" ref="M389:M392" si="18">SUM(L389*10.7639)</f>
        <v>2739.41255</v>
      </c>
      <c r="N389" s="219"/>
      <c r="O389" s="219"/>
    </row>
    <row r="390" spans="1:19" x14ac:dyDescent="0.35">
      <c r="A390" s="1462" t="s">
        <v>21</v>
      </c>
      <c r="B390" s="1462"/>
      <c r="C390" s="1463"/>
      <c r="D390" s="239">
        <v>0</v>
      </c>
      <c r="E390" s="248">
        <f t="shared" si="17"/>
        <v>0</v>
      </c>
      <c r="F390" s="219"/>
      <c r="G390" s="219"/>
      <c r="H390" s="219"/>
      <c r="I390" s="25"/>
      <c r="J390" s="25"/>
      <c r="K390" s="284" t="s">
        <v>33</v>
      </c>
      <c r="L390" s="219">
        <v>136.60000000000002</v>
      </c>
      <c r="M390" s="246">
        <f t="shared" si="18"/>
        <v>1470.3487400000001</v>
      </c>
      <c r="N390" s="219"/>
      <c r="O390" s="219"/>
    </row>
    <row r="391" spans="1:19" x14ac:dyDescent="0.35">
      <c r="A391" s="1462" t="s">
        <v>22</v>
      </c>
      <c r="B391" s="1462"/>
      <c r="C391" s="1463"/>
      <c r="D391" s="239">
        <v>0</v>
      </c>
      <c r="E391" s="248">
        <f t="shared" si="17"/>
        <v>0</v>
      </c>
      <c r="F391" s="219"/>
      <c r="G391" s="219"/>
      <c r="H391" s="219"/>
      <c r="I391" s="25"/>
      <c r="J391" s="25"/>
      <c r="K391" s="284" t="s">
        <v>86</v>
      </c>
      <c r="L391" s="219">
        <v>285.60000000000002</v>
      </c>
      <c r="M391" s="246">
        <f t="shared" si="18"/>
        <v>3074.16984</v>
      </c>
      <c r="N391" s="219"/>
      <c r="O391" s="219"/>
    </row>
    <row r="392" spans="1:19" x14ac:dyDescent="0.35">
      <c r="A392" s="1462" t="s">
        <v>87</v>
      </c>
      <c r="B392" s="1462"/>
      <c r="C392" s="1463"/>
      <c r="D392" s="239">
        <v>154.69999999999999</v>
      </c>
      <c r="E392" s="248">
        <f t="shared" si="17"/>
        <v>1651.2677999999999</v>
      </c>
      <c r="F392" s="219"/>
      <c r="G392" s="219"/>
      <c r="H392" s="219"/>
      <c r="I392" s="25"/>
      <c r="J392" s="25"/>
      <c r="K392" s="284" t="s">
        <v>34</v>
      </c>
      <c r="L392" s="219">
        <v>2105.8500000000004</v>
      </c>
      <c r="M392" s="246">
        <f t="shared" si="18"/>
        <v>22667.158815000003</v>
      </c>
      <c r="N392" s="219"/>
      <c r="O392" s="219"/>
    </row>
    <row r="393" spans="1:19" x14ac:dyDescent="0.35">
      <c r="A393" s="1462" t="s">
        <v>24</v>
      </c>
      <c r="B393" s="1462"/>
      <c r="C393" s="1463"/>
      <c r="D393" s="235">
        <v>0</v>
      </c>
      <c r="E393" s="248">
        <f t="shared" si="17"/>
        <v>0</v>
      </c>
      <c r="F393" s="219"/>
      <c r="G393" s="219"/>
      <c r="H393" s="219"/>
      <c r="I393" s="25"/>
      <c r="J393" s="25"/>
      <c r="L393" s="219"/>
      <c r="M393" s="219"/>
      <c r="N393" s="219"/>
      <c r="O393" s="219"/>
    </row>
    <row r="394" spans="1:19" x14ac:dyDescent="0.35">
      <c r="A394" s="1462" t="s">
        <v>25</v>
      </c>
      <c r="B394" s="1462"/>
      <c r="C394" s="1463"/>
      <c r="D394" s="239">
        <v>56</v>
      </c>
      <c r="E394" s="248">
        <f t="shared" si="17"/>
        <v>597.74399999999991</v>
      </c>
      <c r="F394" s="219"/>
      <c r="G394" s="219"/>
      <c r="H394" s="219"/>
      <c r="I394" s="25"/>
      <c r="J394" s="25"/>
      <c r="L394" s="219"/>
      <c r="M394" s="219"/>
      <c r="N394" s="219"/>
      <c r="O394" s="219"/>
    </row>
    <row r="395" spans="1:19" x14ac:dyDescent="0.35">
      <c r="A395" s="1464" t="s">
        <v>26</v>
      </c>
      <c r="B395" s="1464"/>
      <c r="C395" s="1465"/>
      <c r="D395" s="240">
        <v>193.5</v>
      </c>
      <c r="E395" s="249">
        <f t="shared" si="17"/>
        <v>2065.4189999999999</v>
      </c>
      <c r="F395" s="219"/>
      <c r="G395" s="219"/>
      <c r="H395" s="219"/>
      <c r="I395" s="25"/>
      <c r="J395" s="25"/>
      <c r="L395" s="219"/>
      <c r="M395" s="219"/>
      <c r="N395" s="219"/>
      <c r="O395" s="219"/>
    </row>
    <row r="396" spans="1:19" x14ac:dyDescent="0.35">
      <c r="A396" s="1450" t="s">
        <v>52</v>
      </c>
      <c r="B396" s="1450"/>
      <c r="C396" s="1451"/>
      <c r="D396" s="235">
        <f>SUM(D388:D395)</f>
        <v>459.2</v>
      </c>
      <c r="E396" s="242">
        <f>SUM(E388:E395)</f>
        <v>4901.5007999999998</v>
      </c>
      <c r="F396" s="219"/>
      <c r="G396" s="219"/>
      <c r="H396" s="219"/>
      <c r="I396" s="25"/>
      <c r="J396" s="243"/>
      <c r="K396" s="243"/>
      <c r="L396" s="219"/>
      <c r="M396" s="247"/>
      <c r="N396" s="219"/>
      <c r="O396" s="219"/>
    </row>
    <row r="397" spans="1:19" x14ac:dyDescent="0.35">
      <c r="A397" s="243"/>
      <c r="B397" s="243"/>
      <c r="C397" s="243"/>
      <c r="D397" s="219"/>
      <c r="E397" s="219"/>
      <c r="F397" s="219"/>
      <c r="G397" s="219"/>
      <c r="H397" s="219"/>
      <c r="I397" s="25"/>
    </row>
    <row r="398" spans="1:19" ht="16.5" x14ac:dyDescent="0.3">
      <c r="A398" s="217"/>
      <c r="B398" s="217"/>
      <c r="C398" s="217"/>
      <c r="K398" s="2"/>
    </row>
    <row r="399" spans="1:19" ht="16.5" x14ac:dyDescent="0.3">
      <c r="A399" s="217"/>
      <c r="B399" s="217"/>
      <c r="C399" s="217"/>
      <c r="K399" s="2"/>
    </row>
    <row r="400" spans="1:19" ht="17.25" customHeight="1" thickBot="1" x14ac:dyDescent="0.4">
      <c r="O400" s="307"/>
      <c r="P400" s="307"/>
      <c r="Q400" s="307"/>
      <c r="R400" s="307"/>
      <c r="S400" s="307"/>
    </row>
    <row r="401" spans="1:24" ht="18" customHeight="1" thickBot="1" x14ac:dyDescent="0.4">
      <c r="A401" s="1506" t="s">
        <v>94</v>
      </c>
      <c r="B401" s="1506"/>
      <c r="C401" s="1506"/>
      <c r="D401" s="1506"/>
      <c r="E401" s="1506"/>
      <c r="F401" s="1506"/>
      <c r="G401" s="1506"/>
      <c r="H401" s="1506"/>
      <c r="I401" s="232"/>
      <c r="J401" s="232"/>
      <c r="K401" s="218"/>
      <c r="N401" s="305"/>
      <c r="O401" s="1107" t="s">
        <v>137</v>
      </c>
      <c r="P401" s="1108"/>
      <c r="Q401" s="1108"/>
      <c r="R401" s="1108"/>
      <c r="S401" s="1109"/>
      <c r="X401" s="284"/>
    </row>
    <row r="402" spans="1:24" ht="30.75" thickTop="1" x14ac:dyDescent="0.35">
      <c r="A402" s="1454" t="s">
        <v>88</v>
      </c>
      <c r="B402" s="1454"/>
      <c r="C402" s="1456"/>
      <c r="D402" s="221" t="s">
        <v>95</v>
      </c>
      <c r="E402" s="332" t="s">
        <v>138</v>
      </c>
      <c r="F402" s="1500" t="s">
        <v>96</v>
      </c>
      <c r="G402" s="1501"/>
      <c r="H402" s="1502"/>
      <c r="I402" s="253" t="s">
        <v>106</v>
      </c>
      <c r="J402" s="254" t="s">
        <v>107</v>
      </c>
      <c r="K402" s="250" t="s">
        <v>108</v>
      </c>
      <c r="L402" s="161" t="s">
        <v>105</v>
      </c>
      <c r="M402" s="161" t="s">
        <v>104</v>
      </c>
      <c r="N402" s="305"/>
      <c r="O402" s="303"/>
      <c r="P402" s="304" t="s">
        <v>133</v>
      </c>
      <c r="Q402" s="311" t="s">
        <v>134</v>
      </c>
      <c r="R402" s="312" t="s">
        <v>131</v>
      </c>
      <c r="S402" s="308" t="s">
        <v>132</v>
      </c>
      <c r="X402" s="284"/>
    </row>
    <row r="403" spans="1:24" ht="17.25" customHeight="1" x14ac:dyDescent="0.35">
      <c r="A403" s="1440" t="s">
        <v>89</v>
      </c>
      <c r="B403" s="1440"/>
      <c r="C403" s="1441"/>
      <c r="D403" s="222">
        <v>48</v>
      </c>
      <c r="E403" s="222">
        <v>0</v>
      </c>
      <c r="F403" s="1399">
        <v>0</v>
      </c>
      <c r="G403" s="1440"/>
      <c r="H403" s="1400"/>
      <c r="I403" s="255">
        <f>SUM('Block By Block SoA'!J6+'Block By Block SoA'!J7)</f>
        <v>2</v>
      </c>
      <c r="J403" s="256" cm="1">
        <f t="array" ref="J403">SUM('Block By Block SoA'!K6:N6+'Block By Block SoA'!K7:N7)</f>
        <v>23</v>
      </c>
      <c r="K403" s="251">
        <f>SUM((J403*2)+I403)</f>
        <v>48</v>
      </c>
      <c r="L403" s="229" t="str">
        <f t="shared" ref="L403:L410" si="19">IF(D403&gt;K403,"Higher","Lower")</f>
        <v>Lower</v>
      </c>
      <c r="M403" s="25">
        <f t="shared" ref="M403:M410" si="20">SUM(D403-K403)</f>
        <v>0</v>
      </c>
      <c r="N403" s="305"/>
      <c r="O403" s="1471" t="s">
        <v>126</v>
      </c>
      <c r="P403" s="320" t="s">
        <v>28</v>
      </c>
      <c r="Q403" s="321">
        <f>SUM(Y7:AA7)</f>
        <v>139</v>
      </c>
      <c r="R403" s="322">
        <v>0.75</v>
      </c>
      <c r="S403" s="323">
        <f>SUM(Q403*R403)</f>
        <v>104.25</v>
      </c>
      <c r="X403" s="284"/>
    </row>
    <row r="404" spans="1:24" x14ac:dyDescent="0.35">
      <c r="A404" s="1392" t="s">
        <v>20</v>
      </c>
      <c r="B404" s="1331"/>
      <c r="C404" s="1332"/>
      <c r="D404" s="34">
        <v>16</v>
      </c>
      <c r="E404" s="34">
        <v>0</v>
      </c>
      <c r="F404" s="1392">
        <v>0</v>
      </c>
      <c r="G404" s="1331"/>
      <c r="H404" s="1327"/>
      <c r="I404" s="257">
        <f>SUM('Block By Block SoA'!J8)</f>
        <v>1</v>
      </c>
      <c r="J404" s="256">
        <f>SUM('Block By Block SoA'!K8:N8)</f>
        <v>16</v>
      </c>
      <c r="K404" s="251">
        <f t="shared" ref="K404:K410" si="21">SUM((J404*2)+I404)</f>
        <v>33</v>
      </c>
      <c r="L404" s="229" t="str">
        <f t="shared" si="19"/>
        <v>Lower</v>
      </c>
      <c r="M404" s="25">
        <f t="shared" si="20"/>
        <v>-17</v>
      </c>
      <c r="N404" s="305"/>
      <c r="O404" s="1471"/>
      <c r="P404" s="324" t="s">
        <v>29</v>
      </c>
      <c r="Q404" s="325">
        <f>SUM(Y8:AA8)</f>
        <v>49</v>
      </c>
      <c r="R404" s="326">
        <v>1</v>
      </c>
      <c r="S404" s="327">
        <f>SUM(Q404*R404)</f>
        <v>49</v>
      </c>
      <c r="X404" s="284"/>
    </row>
    <row r="405" spans="1:24" x14ac:dyDescent="0.35">
      <c r="A405" s="1392" t="s">
        <v>21</v>
      </c>
      <c r="B405" s="1331"/>
      <c r="C405" s="1332"/>
      <c r="D405" s="34">
        <v>23</v>
      </c>
      <c r="E405" s="34">
        <v>2</v>
      </c>
      <c r="F405" s="1392">
        <v>2</v>
      </c>
      <c r="G405" s="1331"/>
      <c r="H405" s="1327"/>
      <c r="I405" s="257">
        <f>SUM('Block By Block SoA'!J14)</f>
        <v>0</v>
      </c>
      <c r="J405" s="256">
        <f>SUM('Block By Block SoA'!K14:N14)</f>
        <v>27</v>
      </c>
      <c r="K405" s="251">
        <f t="shared" si="21"/>
        <v>54</v>
      </c>
      <c r="L405" s="229" t="str">
        <f t="shared" si="19"/>
        <v>Lower</v>
      </c>
      <c r="M405" s="25">
        <f t="shared" si="20"/>
        <v>-31</v>
      </c>
      <c r="N405" s="306"/>
      <c r="O405" s="1472"/>
      <c r="P405" s="313" t="s">
        <v>129</v>
      </c>
      <c r="Q405" s="313">
        <f>SUM(Y9:AA9)</f>
        <v>22</v>
      </c>
      <c r="R405" s="250">
        <v>2</v>
      </c>
      <c r="S405" s="314">
        <f>SUM(Q405*R405)</f>
        <v>44</v>
      </c>
      <c r="X405" s="284"/>
    </row>
    <row r="406" spans="1:24" ht="18" thickBot="1" x14ac:dyDescent="0.4">
      <c r="A406" s="1392" t="s">
        <v>22</v>
      </c>
      <c r="B406" s="1331"/>
      <c r="C406" s="1331"/>
      <c r="D406" s="34">
        <v>26</v>
      </c>
      <c r="E406" s="34">
        <v>9</v>
      </c>
      <c r="F406" s="1392">
        <v>6</v>
      </c>
      <c r="G406" s="1331"/>
      <c r="H406" s="1327"/>
      <c r="I406" s="257">
        <f>COUNTA(K102:K129)</f>
        <v>0</v>
      </c>
      <c r="J406" s="256">
        <f>COUNTA(L100:N129)</f>
        <v>20</v>
      </c>
      <c r="K406" s="251">
        <f t="shared" si="21"/>
        <v>40</v>
      </c>
      <c r="L406" s="229" t="str">
        <f t="shared" si="19"/>
        <v>Lower</v>
      </c>
      <c r="M406" s="25">
        <f t="shared" si="20"/>
        <v>-14</v>
      </c>
      <c r="N406" s="306"/>
      <c r="O406" s="1474" t="s">
        <v>130</v>
      </c>
      <c r="P406" s="1475"/>
      <c r="Q406" s="318" cm="1">
        <f t="array" ref="Q406">SUM(Q403:Q405/5)</f>
        <v>42</v>
      </c>
      <c r="R406" s="319">
        <v>1</v>
      </c>
      <c r="S406" s="310">
        <f>Q406</f>
        <v>42</v>
      </c>
      <c r="X406" s="284"/>
    </row>
    <row r="407" spans="1:24" x14ac:dyDescent="0.35">
      <c r="A407" s="1392" t="s">
        <v>87</v>
      </c>
      <c r="B407" s="1331"/>
      <c r="C407" s="1332"/>
      <c r="D407" s="34">
        <v>48</v>
      </c>
      <c r="E407" s="34">
        <v>11</v>
      </c>
      <c r="F407" s="1392">
        <v>0</v>
      </c>
      <c r="G407" s="1331"/>
      <c r="H407" s="1327"/>
      <c r="I407" s="257">
        <f>SUM('Block By Block SoA'!J9+'Block By Block SoA'!J11)</f>
        <v>13</v>
      </c>
      <c r="J407" s="256" cm="1">
        <f t="array" ref="J407">SUM('Block By Block SoA'!K11:N11+'Block By Block SoA'!K9:N9)</f>
        <v>50</v>
      </c>
      <c r="K407" s="251">
        <f t="shared" si="21"/>
        <v>113</v>
      </c>
      <c r="L407" s="229" t="str">
        <f t="shared" si="19"/>
        <v>Lower</v>
      </c>
      <c r="M407" s="25">
        <f t="shared" si="20"/>
        <v>-65</v>
      </c>
      <c r="N407" s="306"/>
      <c r="O407" s="1471" t="s">
        <v>128</v>
      </c>
      <c r="P407" s="328" t="s">
        <v>28</v>
      </c>
      <c r="Q407" s="329">
        <f>SUM(W7)</f>
        <v>0</v>
      </c>
      <c r="R407" s="330">
        <v>1</v>
      </c>
      <c r="S407" s="331">
        <f>SUM(Q407*R407)</f>
        <v>0</v>
      </c>
      <c r="X407" s="284"/>
    </row>
    <row r="408" spans="1:24" x14ac:dyDescent="0.35">
      <c r="A408" s="1392" t="s">
        <v>24</v>
      </c>
      <c r="B408" s="1331"/>
      <c r="C408" s="1332"/>
      <c r="D408" s="34">
        <v>26</v>
      </c>
      <c r="E408" s="34">
        <v>26</v>
      </c>
      <c r="F408" s="1392">
        <v>0</v>
      </c>
      <c r="G408" s="1331"/>
      <c r="H408" s="1327"/>
      <c r="I408" s="257">
        <f>SUM('Block By Block SoA'!J10)</f>
        <v>69</v>
      </c>
      <c r="J408" s="256">
        <f>SUM('Block By Block SoA'!K10:N10)</f>
        <v>13</v>
      </c>
      <c r="K408" s="251">
        <f t="shared" si="21"/>
        <v>95</v>
      </c>
      <c r="L408" s="229" t="str">
        <f t="shared" si="19"/>
        <v>Lower</v>
      </c>
      <c r="M408" s="25">
        <f t="shared" si="20"/>
        <v>-69</v>
      </c>
      <c r="N408" s="306"/>
      <c r="O408" s="1471"/>
      <c r="P408" s="324" t="s">
        <v>29</v>
      </c>
      <c r="Q408" s="325">
        <f>SUM(W8)</f>
        <v>44</v>
      </c>
      <c r="R408" s="326">
        <v>1</v>
      </c>
      <c r="S408" s="327">
        <f>SUM(Q408*R408)</f>
        <v>44</v>
      </c>
      <c r="X408" s="284"/>
    </row>
    <row r="409" spans="1:24" x14ac:dyDescent="0.35">
      <c r="A409" s="1392" t="s">
        <v>25</v>
      </c>
      <c r="B409" s="1331"/>
      <c r="C409" s="1331"/>
      <c r="D409" s="34">
        <v>0</v>
      </c>
      <c r="E409" s="34">
        <v>4</v>
      </c>
      <c r="F409" s="1392">
        <v>0</v>
      </c>
      <c r="G409" s="1331"/>
      <c r="H409" s="1327"/>
      <c r="I409" s="257">
        <f>'Block By Block SoA'!J12</f>
        <v>14</v>
      </c>
      <c r="J409" s="256">
        <f>COUNTA(L130:N139,L178:N193)</f>
        <v>16</v>
      </c>
      <c r="K409" s="251">
        <f t="shared" si="21"/>
        <v>46</v>
      </c>
      <c r="L409" s="229" t="str">
        <f t="shared" si="19"/>
        <v>Lower</v>
      </c>
      <c r="M409" s="25">
        <f t="shared" si="20"/>
        <v>-46</v>
      </c>
      <c r="N409" s="306"/>
      <c r="O409" s="1471"/>
      <c r="P409" s="324" t="s">
        <v>30</v>
      </c>
      <c r="Q409" s="325">
        <f>SUM(W9)</f>
        <v>47</v>
      </c>
      <c r="R409" s="326">
        <v>2</v>
      </c>
      <c r="S409" s="327">
        <f>SUM(Q409*R409)</f>
        <v>94</v>
      </c>
      <c r="X409" s="284"/>
    </row>
    <row r="410" spans="1:24" ht="18" thickBot="1" x14ac:dyDescent="0.4">
      <c r="A410" s="1468" t="s">
        <v>26</v>
      </c>
      <c r="B410" s="1469"/>
      <c r="C410" s="1470"/>
      <c r="D410" s="223">
        <v>124</v>
      </c>
      <c r="E410" s="221">
        <v>20</v>
      </c>
      <c r="F410" s="1503">
        <v>0</v>
      </c>
      <c r="G410" s="1454"/>
      <c r="H410" s="1504"/>
      <c r="I410" s="258">
        <f>SUM('Block By Block SoA'!J13)</f>
        <v>40</v>
      </c>
      <c r="J410" s="259">
        <f>SUM('Block By Block SoA'!K13:N13)</f>
        <v>13</v>
      </c>
      <c r="K410" s="250">
        <f t="shared" si="21"/>
        <v>66</v>
      </c>
      <c r="L410" s="260" t="str">
        <f t="shared" si="19"/>
        <v>Higher</v>
      </c>
      <c r="M410" s="233">
        <f t="shared" si="20"/>
        <v>58</v>
      </c>
      <c r="N410" s="305"/>
      <c r="O410" s="1473"/>
      <c r="P410" s="315" t="s">
        <v>62</v>
      </c>
      <c r="Q410" s="315">
        <f>SUM(W10)</f>
        <v>13</v>
      </c>
      <c r="R410" s="316">
        <v>2</v>
      </c>
      <c r="S410" s="317">
        <f>SUM(Q410*R410)</f>
        <v>26</v>
      </c>
      <c r="X410" s="284"/>
    </row>
    <row r="411" spans="1:24" ht="39" customHeight="1" x14ac:dyDescent="0.35">
      <c r="A411" s="1450" t="s">
        <v>99</v>
      </c>
      <c r="B411" s="1450"/>
      <c r="C411" s="1451"/>
      <c r="D411" s="227">
        <f>SUM(D403:D410)</f>
        <v>311</v>
      </c>
      <c r="E411" s="1455">
        <f>SUM(E403:E410)</f>
        <v>72</v>
      </c>
      <c r="F411" s="1484">
        <f>SUM(F403:H410)</f>
        <v>8</v>
      </c>
      <c r="G411" s="1430"/>
      <c r="H411" s="1485"/>
      <c r="I411" s="1496">
        <f>SUM(I403:I410)</f>
        <v>139</v>
      </c>
      <c r="J411" s="1498">
        <f>SUM(J403:J410)</f>
        <v>178</v>
      </c>
      <c r="K411" s="1494">
        <f>SUM(K403:K410)</f>
        <v>495</v>
      </c>
      <c r="L411" s="234" t="s">
        <v>111</v>
      </c>
      <c r="M411" s="229">
        <f>SUM(M403:M410)</f>
        <v>-184</v>
      </c>
      <c r="N411" s="305"/>
      <c r="O411" s="1431" t="s">
        <v>135</v>
      </c>
      <c r="P411" s="1431"/>
      <c r="Q411" s="1431"/>
      <c r="R411" s="1476"/>
      <c r="S411" s="309">
        <f>SUM(S403:S405,S407:S410)</f>
        <v>361.25</v>
      </c>
      <c r="X411" s="284"/>
    </row>
    <row r="412" spans="1:24" ht="24.75" customHeight="1" thickBot="1" x14ac:dyDescent="0.35">
      <c r="A412" s="1460" t="s">
        <v>100</v>
      </c>
      <c r="B412" s="1460"/>
      <c r="C412" s="1461"/>
      <c r="D412" s="226">
        <v>184</v>
      </c>
      <c r="E412" s="1483"/>
      <c r="F412" s="1486"/>
      <c r="G412" s="1487"/>
      <c r="H412" s="1488"/>
      <c r="I412" s="1497"/>
      <c r="J412" s="1499"/>
      <c r="K412" s="1495"/>
      <c r="L412" s="1523" t="s">
        <v>110</v>
      </c>
      <c r="M412" s="1449">
        <f>SUM(M411+D412)</f>
        <v>0</v>
      </c>
      <c r="N412" s="305"/>
      <c r="O412" s="1477" t="s">
        <v>136</v>
      </c>
      <c r="P412" s="1478"/>
      <c r="Q412" s="1478"/>
      <c r="R412" s="1478"/>
      <c r="S412" s="1528">
        <f>SUM(S403:S410)</f>
        <v>403.25</v>
      </c>
    </row>
    <row r="413" spans="1:24" ht="16.5" customHeight="1" thickBot="1" x14ac:dyDescent="0.4">
      <c r="A413" s="1458" t="s">
        <v>98</v>
      </c>
      <c r="B413" s="1459"/>
      <c r="C413" s="1459"/>
      <c r="D413" s="225">
        <f>SUM(D411+D412)</f>
        <v>495</v>
      </c>
      <c r="E413" s="224" t="s">
        <v>97</v>
      </c>
      <c r="F413" s="1524">
        <f>SUM(E411:H411)</f>
        <v>80</v>
      </c>
      <c r="G413" s="1459"/>
      <c r="H413" s="1525"/>
      <c r="I413" s="261" t="s">
        <v>109</v>
      </c>
      <c r="J413" s="252" cm="1">
        <f t="array" ref="J413">SUM(J403:J410+I403:I410)</f>
        <v>317</v>
      </c>
      <c r="K413" s="1495"/>
      <c r="L413" s="1523"/>
      <c r="M413" s="1449"/>
      <c r="N413" s="305"/>
      <c r="O413" s="1479"/>
      <c r="P413" s="1480"/>
      <c r="Q413" s="1480"/>
      <c r="R413" s="1480"/>
      <c r="S413" s="1529"/>
    </row>
    <row r="414" spans="1:24" ht="16.5" customHeight="1" x14ac:dyDescent="0.35"/>
    <row r="415" spans="1:24" ht="16.5" customHeight="1" x14ac:dyDescent="0.35">
      <c r="A415" s="1453" t="s">
        <v>101</v>
      </c>
      <c r="B415" s="1453"/>
      <c r="C415" s="1453"/>
      <c r="D415" s="229" cm="1">
        <f t="array" ref="D415">SUM(L364:N364*2)+K364</f>
        <v>495</v>
      </c>
      <c r="O415" s="284" t="s">
        <v>127</v>
      </c>
    </row>
    <row r="416" spans="1:24" ht="16.5" customHeight="1" x14ac:dyDescent="0.35">
      <c r="A416" s="1452" t="s">
        <v>102</v>
      </c>
      <c r="B416" s="1452"/>
      <c r="C416" s="1452"/>
      <c r="D416" s="1452"/>
    </row>
    <row r="417" spans="1:22" ht="16.5" customHeight="1" x14ac:dyDescent="0.35">
      <c r="K417" s="2"/>
    </row>
    <row r="418" spans="1:22" ht="16.5" customHeight="1" x14ac:dyDescent="0.35">
      <c r="A418" s="25"/>
      <c r="C418" s="25"/>
    </row>
    <row r="419" spans="1:22" ht="16.5" customHeight="1" thickBot="1" x14ac:dyDescent="0.4">
      <c r="A419" s="1353" t="s">
        <v>157</v>
      </c>
      <c r="B419" s="1353"/>
      <c r="C419" s="1353"/>
      <c r="D419" s="1353"/>
      <c r="E419" s="1353"/>
      <c r="F419" s="1353"/>
      <c r="G419" s="1353"/>
      <c r="H419" s="1353"/>
      <c r="I419" s="1353"/>
      <c r="J419" s="1353"/>
      <c r="K419" s="1353"/>
      <c r="L419" s="1353"/>
      <c r="M419" s="1353"/>
      <c r="N419" s="1353"/>
      <c r="O419" s="1353"/>
    </row>
    <row r="420" spans="1:22" ht="68.25" customHeight="1" thickTop="1" x14ac:dyDescent="0.3">
      <c r="A420" s="333"/>
      <c r="B420" s="566" t="s">
        <v>319</v>
      </c>
      <c r="C420" s="340" t="s">
        <v>220</v>
      </c>
      <c r="D420" s="567" t="s">
        <v>148</v>
      </c>
      <c r="E420" s="567" t="s">
        <v>149</v>
      </c>
      <c r="F420" s="567" t="s">
        <v>150</v>
      </c>
      <c r="G420" s="567" t="s">
        <v>151</v>
      </c>
      <c r="H420" s="567" t="s">
        <v>152</v>
      </c>
      <c r="I420" s="344" t="s">
        <v>153</v>
      </c>
      <c r="J420" s="567" t="s">
        <v>154</v>
      </c>
      <c r="K420" s="567" t="s">
        <v>63</v>
      </c>
      <c r="L420" s="567" t="s">
        <v>155</v>
      </c>
      <c r="M420" s="568" t="s">
        <v>156</v>
      </c>
      <c r="N420" s="1466" t="s">
        <v>158</v>
      </c>
      <c r="O420" s="1467"/>
    </row>
    <row r="421" spans="1:22" ht="16.5" x14ac:dyDescent="0.3">
      <c r="A421" s="335" t="s">
        <v>139</v>
      </c>
      <c r="B421" s="337" t="s">
        <v>77</v>
      </c>
      <c r="C421" s="341" t="s">
        <v>77</v>
      </c>
      <c r="D421" s="341" t="s">
        <v>77</v>
      </c>
      <c r="E421" s="341" t="s">
        <v>77</v>
      </c>
      <c r="F421" s="341">
        <v>62.9</v>
      </c>
      <c r="G421" s="341" t="s">
        <v>77</v>
      </c>
      <c r="H421" s="341" t="s">
        <v>77</v>
      </c>
      <c r="I421" s="345" t="s">
        <v>77</v>
      </c>
      <c r="J421" s="341" t="s">
        <v>77</v>
      </c>
      <c r="K421" s="341" t="s">
        <v>77</v>
      </c>
      <c r="L421" s="341" t="s">
        <v>77</v>
      </c>
      <c r="M421" s="335" t="s">
        <v>77</v>
      </c>
      <c r="N421" s="1522">
        <f t="shared" ref="N421:N428" si="22">SUM(B421:M421)</f>
        <v>62.9</v>
      </c>
      <c r="O421" s="1450"/>
      <c r="Q421" s="103"/>
      <c r="R421" s="103"/>
      <c r="S421" s="103"/>
      <c r="T421" s="103"/>
    </row>
    <row r="422" spans="1:22" ht="16.5" x14ac:dyDescent="0.3">
      <c r="A422" s="335" t="s">
        <v>140</v>
      </c>
      <c r="B422" s="337">
        <v>913.5</v>
      </c>
      <c r="C422" s="570">
        <v>2335.1</v>
      </c>
      <c r="D422" s="341">
        <v>466.65</v>
      </c>
      <c r="E422" s="341">
        <v>182.7</v>
      </c>
      <c r="F422" s="341">
        <v>1050.4000000000001</v>
      </c>
      <c r="G422" s="341">
        <v>689.3</v>
      </c>
      <c r="H422" s="341">
        <v>462.5</v>
      </c>
      <c r="I422" s="564">
        <v>571.5</v>
      </c>
      <c r="J422" s="341" t="s">
        <v>77</v>
      </c>
      <c r="K422" s="341" t="s">
        <v>77</v>
      </c>
      <c r="L422" s="341" t="s">
        <v>77</v>
      </c>
      <c r="M422" s="335" t="s">
        <v>77</v>
      </c>
      <c r="N422" s="1526">
        <f t="shared" si="22"/>
        <v>6671.6500000000005</v>
      </c>
      <c r="O422" s="1507"/>
      <c r="Q422" s="103"/>
      <c r="R422" s="231"/>
      <c r="S422" s="231"/>
      <c r="T422" s="231"/>
    </row>
    <row r="423" spans="1:22" ht="16.5" x14ac:dyDescent="0.3">
      <c r="A423" s="335" t="s">
        <v>141</v>
      </c>
      <c r="B423" s="337" t="s">
        <v>77</v>
      </c>
      <c r="C423" s="341" t="s">
        <v>77</v>
      </c>
      <c r="D423" s="341" t="s">
        <v>77</v>
      </c>
      <c r="E423" s="341" t="s">
        <v>77</v>
      </c>
      <c r="F423" s="341" t="s">
        <v>77</v>
      </c>
      <c r="G423" s="341" t="s">
        <v>77</v>
      </c>
      <c r="H423" s="341" t="s">
        <v>77</v>
      </c>
      <c r="I423" s="345" t="s">
        <v>77</v>
      </c>
      <c r="J423" s="341">
        <v>191.4</v>
      </c>
      <c r="K423" s="341">
        <v>224.5</v>
      </c>
      <c r="L423" s="341">
        <v>132</v>
      </c>
      <c r="M423" s="335" t="s">
        <v>77</v>
      </c>
      <c r="N423" s="1526">
        <f t="shared" si="22"/>
        <v>547.9</v>
      </c>
      <c r="O423" s="1507"/>
      <c r="Q423" s="229"/>
      <c r="R423" s="231"/>
      <c r="S423" s="231"/>
      <c r="T423" s="231"/>
    </row>
    <row r="424" spans="1:22" ht="16.5" x14ac:dyDescent="0.3">
      <c r="A424" s="335" t="s">
        <v>142</v>
      </c>
      <c r="B424" s="337" t="s">
        <v>77</v>
      </c>
      <c r="C424" s="341" t="s">
        <v>77</v>
      </c>
      <c r="D424" s="341" t="s">
        <v>77</v>
      </c>
      <c r="E424" s="341" t="s">
        <v>77</v>
      </c>
      <c r="F424" s="341" t="s">
        <v>77</v>
      </c>
      <c r="G424" s="341" t="s">
        <v>77</v>
      </c>
      <c r="H424" s="341" t="s">
        <v>77</v>
      </c>
      <c r="I424" s="345" t="s">
        <v>77</v>
      </c>
      <c r="J424" s="341">
        <v>115.7</v>
      </c>
      <c r="K424" s="341">
        <v>625.4</v>
      </c>
      <c r="L424" s="341">
        <v>198.7</v>
      </c>
      <c r="M424" s="335" t="s">
        <v>77</v>
      </c>
      <c r="N424" s="1526">
        <f t="shared" si="22"/>
        <v>939.8</v>
      </c>
      <c r="O424" s="1507"/>
      <c r="Q424" s="103"/>
      <c r="R424" s="231"/>
      <c r="S424" s="231"/>
      <c r="T424" s="231"/>
    </row>
    <row r="425" spans="1:22" ht="16.5" x14ac:dyDescent="0.3">
      <c r="A425" s="335" t="s">
        <v>143</v>
      </c>
      <c r="B425" s="337" t="s">
        <v>77</v>
      </c>
      <c r="C425" s="341" t="s">
        <v>77</v>
      </c>
      <c r="D425" s="341" t="s">
        <v>77</v>
      </c>
      <c r="E425" s="341" t="s">
        <v>77</v>
      </c>
      <c r="F425" s="341" t="s">
        <v>77</v>
      </c>
      <c r="G425" s="341" t="s">
        <v>77</v>
      </c>
      <c r="H425" s="341" t="s">
        <v>77</v>
      </c>
      <c r="I425" s="345" t="s">
        <v>77</v>
      </c>
      <c r="J425" s="341">
        <v>74.400000000000006</v>
      </c>
      <c r="K425" s="341">
        <v>75</v>
      </c>
      <c r="L425" s="341">
        <v>23.4</v>
      </c>
      <c r="M425" s="335" t="s">
        <v>77</v>
      </c>
      <c r="N425" s="1526">
        <f t="shared" si="22"/>
        <v>172.8</v>
      </c>
      <c r="O425" s="1507"/>
      <c r="Q425" s="103"/>
      <c r="R425" s="231"/>
      <c r="S425" s="231"/>
      <c r="T425" s="231"/>
    </row>
    <row r="426" spans="1:22" x14ac:dyDescent="0.35">
      <c r="A426" s="335" t="s">
        <v>144</v>
      </c>
      <c r="B426" s="337" t="s">
        <v>77</v>
      </c>
      <c r="C426" s="341" t="s">
        <v>77</v>
      </c>
      <c r="D426" s="341" t="s">
        <v>77</v>
      </c>
      <c r="E426" s="341" t="s">
        <v>77</v>
      </c>
      <c r="F426" s="341" t="s">
        <v>77</v>
      </c>
      <c r="G426" s="341" t="s">
        <v>77</v>
      </c>
      <c r="H426" s="341" t="s">
        <v>77</v>
      </c>
      <c r="I426" s="345" t="s">
        <v>77</v>
      </c>
      <c r="J426" s="341">
        <v>60.1</v>
      </c>
      <c r="K426" s="341">
        <v>25.9</v>
      </c>
      <c r="L426" s="341" t="s">
        <v>77</v>
      </c>
      <c r="M426" s="335" t="s">
        <v>77</v>
      </c>
      <c r="N426" s="1526">
        <f t="shared" si="22"/>
        <v>86</v>
      </c>
      <c r="O426" s="1507"/>
      <c r="Q426" s="477"/>
      <c r="R426" s="565"/>
      <c r="S426" s="565"/>
      <c r="T426" s="565"/>
      <c r="U426" s="284" t="s">
        <v>4</v>
      </c>
      <c r="V426" s="284" t="s">
        <v>269</v>
      </c>
    </row>
    <row r="427" spans="1:22" x14ac:dyDescent="0.35">
      <c r="A427" s="335" t="s">
        <v>145</v>
      </c>
      <c r="B427" s="337" t="s">
        <v>77</v>
      </c>
      <c r="C427" s="341" t="s">
        <v>77</v>
      </c>
      <c r="D427" s="341" t="s">
        <v>77</v>
      </c>
      <c r="E427" s="341" t="s">
        <v>77</v>
      </c>
      <c r="F427" s="341" t="s">
        <v>77</v>
      </c>
      <c r="G427" s="341" t="s">
        <v>77</v>
      </c>
      <c r="H427" s="341" t="s">
        <v>77</v>
      </c>
      <c r="I427" s="345" t="s">
        <v>77</v>
      </c>
      <c r="J427" s="341">
        <v>7.6</v>
      </c>
      <c r="K427" s="341" t="s">
        <v>218</v>
      </c>
      <c r="L427" s="341">
        <v>7.3</v>
      </c>
      <c r="M427" s="335" t="s">
        <v>77</v>
      </c>
      <c r="N427" s="1526">
        <f t="shared" si="22"/>
        <v>14.899999999999999</v>
      </c>
      <c r="O427" s="1507"/>
      <c r="Q427" s="1335" t="s">
        <v>317</v>
      </c>
      <c r="R427" s="1335"/>
      <c r="S427" s="467"/>
      <c r="T427" s="467"/>
      <c r="U427" s="284">
        <f>SUM(N429-C422-I422)</f>
        <v>6187.1499999999978</v>
      </c>
      <c r="V427" s="284">
        <f>SUM(U427*10.674)</f>
        <v>66041.639099999971</v>
      </c>
    </row>
    <row r="428" spans="1:22" x14ac:dyDescent="0.35">
      <c r="A428" s="313" t="s">
        <v>146</v>
      </c>
      <c r="B428" s="338" t="s">
        <v>77</v>
      </c>
      <c r="C428" s="342" t="s">
        <v>77</v>
      </c>
      <c r="D428" s="342" t="s">
        <v>77</v>
      </c>
      <c r="E428" s="342" t="s">
        <v>77</v>
      </c>
      <c r="F428" s="342" t="s">
        <v>77</v>
      </c>
      <c r="G428" s="342" t="s">
        <v>77</v>
      </c>
      <c r="H428" s="342" t="s">
        <v>77</v>
      </c>
      <c r="I428" s="346" t="s">
        <v>77</v>
      </c>
      <c r="J428" s="342" t="s">
        <v>77</v>
      </c>
      <c r="K428" s="342" t="s">
        <v>77</v>
      </c>
      <c r="L428" s="342" t="s">
        <v>77</v>
      </c>
      <c r="M428" s="313">
        <v>597.79999999999995</v>
      </c>
      <c r="N428" s="1526">
        <f t="shared" si="22"/>
        <v>597.79999999999995</v>
      </c>
      <c r="O428" s="1507"/>
      <c r="Q428" s="1537" t="s">
        <v>316</v>
      </c>
      <c r="R428" s="1537"/>
      <c r="S428" s="490"/>
      <c r="T428" s="490"/>
      <c r="U428" s="569">
        <f>SUM(U427/K366)</f>
        <v>19.517823343848573</v>
      </c>
      <c r="V428" s="569">
        <f>SUM(U428*10.674)</f>
        <v>208.33324637223964</v>
      </c>
    </row>
    <row r="429" spans="1:22" x14ac:dyDescent="0.35">
      <c r="A429" s="229" t="s">
        <v>158</v>
      </c>
      <c r="B429" s="339">
        <f>SUM(B421:B428)</f>
        <v>913.5</v>
      </c>
      <c r="C429" s="343">
        <f>SUM(C421:C428)</f>
        <v>2335.1</v>
      </c>
      <c r="D429" s="343">
        <f t="shared" ref="D429:M429" si="23">SUM(D421:D428)</f>
        <v>466.65</v>
      </c>
      <c r="E429" s="343">
        <f t="shared" si="23"/>
        <v>182.7</v>
      </c>
      <c r="F429" s="343">
        <f t="shared" si="23"/>
        <v>1113.3000000000002</v>
      </c>
      <c r="G429" s="343">
        <f t="shared" si="23"/>
        <v>689.3</v>
      </c>
      <c r="H429" s="343">
        <f t="shared" si="23"/>
        <v>462.5</v>
      </c>
      <c r="I429" s="347">
        <f t="shared" si="23"/>
        <v>571.5</v>
      </c>
      <c r="J429" s="343">
        <f t="shared" si="23"/>
        <v>449.20000000000005</v>
      </c>
      <c r="K429" s="343">
        <f t="shared" si="23"/>
        <v>950.8</v>
      </c>
      <c r="L429" s="343">
        <f t="shared" si="23"/>
        <v>361.4</v>
      </c>
      <c r="M429" s="217">
        <f t="shared" si="23"/>
        <v>597.79999999999995</v>
      </c>
      <c r="N429" s="1522">
        <f>SUM(N421:O428)</f>
        <v>9093.7499999999982</v>
      </c>
      <c r="O429" s="1450"/>
      <c r="Q429" s="1536"/>
      <c r="R429" s="1536"/>
      <c r="S429" s="565"/>
      <c r="T429" s="565"/>
      <c r="U429" s="284"/>
    </row>
    <row r="430" spans="1:22" x14ac:dyDescent="0.35">
      <c r="Q430" s="1335" t="s">
        <v>318</v>
      </c>
      <c r="R430" s="1335"/>
      <c r="S430" s="1335"/>
      <c r="T430" s="1335"/>
      <c r="U430" s="1335"/>
      <c r="V430" s="1335"/>
    </row>
    <row r="432" spans="1:22" ht="18" thickBot="1" x14ac:dyDescent="0.4">
      <c r="A432" s="1353" t="s">
        <v>217</v>
      </c>
      <c r="B432" s="1353"/>
      <c r="C432" s="1353"/>
      <c r="D432" s="1353"/>
      <c r="E432" s="1353"/>
      <c r="F432" s="1353"/>
      <c r="G432" s="1353"/>
      <c r="H432" s="1353"/>
      <c r="I432" s="1353"/>
      <c r="J432" s="1353"/>
      <c r="K432" s="1353"/>
      <c r="L432" s="1353"/>
      <c r="M432" s="1353"/>
      <c r="N432" s="1353"/>
      <c r="O432" s="1353"/>
    </row>
    <row r="433" spans="1:15" ht="60.75" thickTop="1" x14ac:dyDescent="0.3">
      <c r="A433" s="333"/>
      <c r="B433" s="336" t="s">
        <v>147</v>
      </c>
      <c r="C433" s="340" t="s">
        <v>220</v>
      </c>
      <c r="D433" s="340" t="s">
        <v>148</v>
      </c>
      <c r="E433" s="340" t="s">
        <v>149</v>
      </c>
      <c r="F433" s="340" t="s">
        <v>150</v>
      </c>
      <c r="G433" s="340" t="s">
        <v>151</v>
      </c>
      <c r="H433" s="340" t="s">
        <v>152</v>
      </c>
      <c r="I433" s="344" t="s">
        <v>153</v>
      </c>
      <c r="J433" s="340" t="s">
        <v>154</v>
      </c>
      <c r="K433" s="340" t="s">
        <v>63</v>
      </c>
      <c r="L433" s="340" t="s">
        <v>155</v>
      </c>
      <c r="M433" s="334" t="s">
        <v>156</v>
      </c>
      <c r="N433" s="1358" t="s">
        <v>216</v>
      </c>
      <c r="O433" s="1359"/>
    </row>
    <row r="434" spans="1:15" ht="16.5" x14ac:dyDescent="0.3">
      <c r="A434" s="335" t="s">
        <v>139</v>
      </c>
      <c r="B434" s="450" t="s">
        <v>77</v>
      </c>
      <c r="C434" s="449" t="s">
        <v>77</v>
      </c>
      <c r="D434" s="449" t="s">
        <v>77</v>
      </c>
      <c r="E434" s="449" t="s">
        <v>77</v>
      </c>
      <c r="F434" s="449">
        <f>SUM(F421*10.674)</f>
        <v>671.39459999999997</v>
      </c>
      <c r="G434" s="449" t="s">
        <v>77</v>
      </c>
      <c r="H434" s="449" t="s">
        <v>77</v>
      </c>
      <c r="I434" s="451" t="s">
        <v>77</v>
      </c>
      <c r="J434" s="449" t="s">
        <v>77</v>
      </c>
      <c r="K434" s="449" t="s">
        <v>77</v>
      </c>
      <c r="L434" s="449" t="s">
        <v>77</v>
      </c>
      <c r="M434" s="452" t="s">
        <v>77</v>
      </c>
      <c r="N434" s="1351">
        <f t="shared" ref="N434:N441" si="24">SUM(B434:M434)</f>
        <v>671.39459999999997</v>
      </c>
      <c r="O434" s="1352"/>
    </row>
    <row r="435" spans="1:15" ht="16.5" x14ac:dyDescent="0.3">
      <c r="A435" s="335" t="s">
        <v>140</v>
      </c>
      <c r="B435" s="450">
        <f>SUM(B422*10.674)</f>
        <v>9750.6989999999987</v>
      </c>
      <c r="C435" s="449">
        <f>C422*10.674</f>
        <v>24924.857399999997</v>
      </c>
      <c r="D435" s="449">
        <f>SUM(D422*10.674)</f>
        <v>4981.0220999999992</v>
      </c>
      <c r="E435" s="449">
        <f>E422*10.674</f>
        <v>1950.1397999999997</v>
      </c>
      <c r="F435" s="449">
        <f>SUM(F422*10.674)</f>
        <v>11211.9696</v>
      </c>
      <c r="G435" s="449">
        <f>SUM(G422*10.674)</f>
        <v>7357.5881999999992</v>
      </c>
      <c r="H435" s="449">
        <f>SUM(H422*10.674)</f>
        <v>4936.7249999999995</v>
      </c>
      <c r="I435" s="451">
        <f>SUM(I422*10.674)</f>
        <v>6100.1909999999998</v>
      </c>
      <c r="J435" s="449" t="s">
        <v>77</v>
      </c>
      <c r="K435" s="449" t="s">
        <v>77</v>
      </c>
      <c r="L435" s="449" t="s">
        <v>77</v>
      </c>
      <c r="M435" s="452" t="s">
        <v>77</v>
      </c>
      <c r="N435" s="1349">
        <f t="shared" si="24"/>
        <v>71213.192099999986</v>
      </c>
      <c r="O435" s="1350"/>
    </row>
    <row r="436" spans="1:15" ht="16.5" x14ac:dyDescent="0.3">
      <c r="A436" s="335" t="s">
        <v>141</v>
      </c>
      <c r="B436" s="450" t="s">
        <v>77</v>
      </c>
      <c r="C436" s="449" t="s">
        <v>77</v>
      </c>
      <c r="D436" s="449" t="s">
        <v>77</v>
      </c>
      <c r="E436" s="449" t="s">
        <v>77</v>
      </c>
      <c r="F436" s="449" t="s">
        <v>77</v>
      </c>
      <c r="G436" s="449" t="s">
        <v>77</v>
      </c>
      <c r="H436" s="449" t="s">
        <v>77</v>
      </c>
      <c r="I436" s="451" t="s">
        <v>77</v>
      </c>
      <c r="J436" s="449">
        <f t="shared" ref="J436:L438" si="25">SUM(J423*10.674)</f>
        <v>2043.0036</v>
      </c>
      <c r="K436" s="449">
        <f t="shared" si="25"/>
        <v>2396.3130000000001</v>
      </c>
      <c r="L436" s="449">
        <f t="shared" si="25"/>
        <v>1408.9679999999998</v>
      </c>
      <c r="M436" s="452" t="s">
        <v>77</v>
      </c>
      <c r="N436" s="1349">
        <f t="shared" si="24"/>
        <v>5848.2846</v>
      </c>
      <c r="O436" s="1350"/>
    </row>
    <row r="437" spans="1:15" ht="16.5" x14ac:dyDescent="0.3">
      <c r="A437" s="335" t="s">
        <v>142</v>
      </c>
      <c r="B437" s="450" t="s">
        <v>77</v>
      </c>
      <c r="C437" s="449" t="s">
        <v>77</v>
      </c>
      <c r="D437" s="449" t="s">
        <v>77</v>
      </c>
      <c r="E437" s="449" t="s">
        <v>77</v>
      </c>
      <c r="F437" s="449" t="s">
        <v>77</v>
      </c>
      <c r="G437" s="449" t="s">
        <v>77</v>
      </c>
      <c r="H437" s="449" t="s">
        <v>77</v>
      </c>
      <c r="I437" s="451" t="s">
        <v>77</v>
      </c>
      <c r="J437" s="449">
        <f t="shared" si="25"/>
        <v>1234.9818</v>
      </c>
      <c r="K437" s="449">
        <f t="shared" si="25"/>
        <v>6675.5195999999996</v>
      </c>
      <c r="L437" s="449">
        <f t="shared" si="25"/>
        <v>2120.9237999999996</v>
      </c>
      <c r="M437" s="452" t="s">
        <v>77</v>
      </c>
      <c r="N437" s="1349">
        <f t="shared" si="24"/>
        <v>10031.425199999998</v>
      </c>
      <c r="O437" s="1350"/>
    </row>
    <row r="438" spans="1:15" ht="16.5" x14ac:dyDescent="0.3">
      <c r="A438" s="335" t="s">
        <v>143</v>
      </c>
      <c r="B438" s="450" t="s">
        <v>77</v>
      </c>
      <c r="C438" s="449" t="s">
        <v>77</v>
      </c>
      <c r="D438" s="449" t="s">
        <v>77</v>
      </c>
      <c r="E438" s="449" t="s">
        <v>77</v>
      </c>
      <c r="F438" s="449" t="s">
        <v>77</v>
      </c>
      <c r="G438" s="449" t="s">
        <v>77</v>
      </c>
      <c r="H438" s="449" t="s">
        <v>77</v>
      </c>
      <c r="I438" s="451" t="s">
        <v>77</v>
      </c>
      <c r="J438" s="449">
        <f t="shared" si="25"/>
        <v>794.14560000000006</v>
      </c>
      <c r="K438" s="449">
        <f t="shared" si="25"/>
        <v>800.55</v>
      </c>
      <c r="L438" s="449">
        <f t="shared" si="25"/>
        <v>249.77159999999998</v>
      </c>
      <c r="M438" s="452" t="s">
        <v>77</v>
      </c>
      <c r="N438" s="1349">
        <f t="shared" si="24"/>
        <v>1844.4672</v>
      </c>
      <c r="O438" s="1350"/>
    </row>
    <row r="439" spans="1:15" ht="16.5" x14ac:dyDescent="0.3">
      <c r="A439" s="335" t="s">
        <v>144</v>
      </c>
      <c r="B439" s="450" t="s">
        <v>77</v>
      </c>
      <c r="C439" s="449" t="s">
        <v>77</v>
      </c>
      <c r="D439" s="449" t="s">
        <v>77</v>
      </c>
      <c r="E439" s="449" t="s">
        <v>77</v>
      </c>
      <c r="F439" s="449" t="s">
        <v>77</v>
      </c>
      <c r="G439" s="449" t="s">
        <v>77</v>
      </c>
      <c r="H439" s="449" t="s">
        <v>77</v>
      </c>
      <c r="I439" s="451" t="s">
        <v>77</v>
      </c>
      <c r="J439" s="449">
        <f>SUM(J426*10.674)</f>
        <v>641.50739999999996</v>
      </c>
      <c r="K439" s="449">
        <f>SUM(K426*10.674)</f>
        <v>276.45659999999998</v>
      </c>
      <c r="L439" s="449" t="s">
        <v>77</v>
      </c>
      <c r="M439" s="452" t="s">
        <v>77</v>
      </c>
      <c r="N439" s="1349">
        <f t="shared" si="24"/>
        <v>917.96399999999994</v>
      </c>
      <c r="O439" s="1350"/>
    </row>
    <row r="440" spans="1:15" ht="16.5" x14ac:dyDescent="0.3">
      <c r="A440" s="335" t="s">
        <v>145</v>
      </c>
      <c r="B440" s="450" t="s">
        <v>77</v>
      </c>
      <c r="C440" s="449" t="s">
        <v>77</v>
      </c>
      <c r="D440" s="449" t="s">
        <v>77</v>
      </c>
      <c r="E440" s="449" t="s">
        <v>77</v>
      </c>
      <c r="F440" s="449" t="s">
        <v>77</v>
      </c>
      <c r="G440" s="449" t="s">
        <v>77</v>
      </c>
      <c r="H440" s="449" t="s">
        <v>77</v>
      </c>
      <c r="I440" s="451" t="s">
        <v>77</v>
      </c>
      <c r="J440" s="449">
        <f>SUM(J427*10.674)</f>
        <v>81.122399999999999</v>
      </c>
      <c r="K440" s="449" t="s">
        <v>77</v>
      </c>
      <c r="L440" s="449" t="s">
        <v>77</v>
      </c>
      <c r="M440" s="452" t="s">
        <v>77</v>
      </c>
      <c r="N440" s="1349">
        <f t="shared" si="24"/>
        <v>81.122399999999999</v>
      </c>
      <c r="O440" s="1350"/>
    </row>
    <row r="441" spans="1:15" ht="16.5" x14ac:dyDescent="0.3">
      <c r="A441" s="313" t="s">
        <v>146</v>
      </c>
      <c r="B441" s="453" t="s">
        <v>77</v>
      </c>
      <c r="C441" s="454" t="s">
        <v>77</v>
      </c>
      <c r="D441" s="454" t="s">
        <v>77</v>
      </c>
      <c r="E441" s="454" t="s">
        <v>77</v>
      </c>
      <c r="F441" s="454" t="s">
        <v>77</v>
      </c>
      <c r="G441" s="454" t="s">
        <v>77</v>
      </c>
      <c r="H441" s="454" t="s">
        <v>77</v>
      </c>
      <c r="I441" s="455" t="s">
        <v>77</v>
      </c>
      <c r="J441" s="454" t="s">
        <v>77</v>
      </c>
      <c r="K441" s="454" t="s">
        <v>77</v>
      </c>
      <c r="L441" s="454" t="s">
        <v>77</v>
      </c>
      <c r="M441" s="456">
        <f>SUM(M428*10.674)</f>
        <v>6380.917199999999</v>
      </c>
      <c r="N441" s="1349">
        <f t="shared" si="24"/>
        <v>6380.917199999999</v>
      </c>
      <c r="O441" s="1350"/>
    </row>
    <row r="442" spans="1:15" ht="16.5" x14ac:dyDescent="0.3">
      <c r="A442" s="229" t="s">
        <v>216</v>
      </c>
      <c r="B442" s="457">
        <f>SUM(B434:B441)</f>
        <v>9750.6989999999987</v>
      </c>
      <c r="C442" s="458">
        <f>SUM(C434:C441)</f>
        <v>24924.857399999997</v>
      </c>
      <c r="D442" s="458">
        <f>SUM(D434:D441)</f>
        <v>4981.0220999999992</v>
      </c>
      <c r="E442" s="458">
        <f>SUM(E434:E441)</f>
        <v>1950.1397999999997</v>
      </c>
      <c r="F442" s="458">
        <f>SUM(F434:F441)</f>
        <v>11883.3642</v>
      </c>
      <c r="G442" s="458">
        <f t="shared" ref="G442:M442" si="26">SUM(G434:G441)</f>
        <v>7357.5881999999992</v>
      </c>
      <c r="H442" s="458">
        <f t="shared" si="26"/>
        <v>4936.7249999999995</v>
      </c>
      <c r="I442" s="459">
        <f t="shared" si="26"/>
        <v>6100.1909999999998</v>
      </c>
      <c r="J442" s="458">
        <f t="shared" si="26"/>
        <v>4794.7608</v>
      </c>
      <c r="K442" s="458">
        <f t="shared" si="26"/>
        <v>10148.839199999999</v>
      </c>
      <c r="L442" s="458">
        <f t="shared" si="26"/>
        <v>3779.6633999999995</v>
      </c>
      <c r="M442" s="269">
        <f t="shared" si="26"/>
        <v>6380.917199999999</v>
      </c>
      <c r="N442" s="1351">
        <f>SUM(N434:O441)</f>
        <v>96988.767299999978</v>
      </c>
      <c r="O442" s="1352"/>
    </row>
    <row r="443" spans="1:15" x14ac:dyDescent="0.35">
      <c r="J443" s="25"/>
      <c r="K443" s="2"/>
    </row>
  </sheetData>
  <mergeCells count="742">
    <mergeCell ref="E3:E4"/>
    <mergeCell ref="F3:F4"/>
    <mergeCell ref="AA26:AC26"/>
    <mergeCell ref="AD26:AE26"/>
    <mergeCell ref="Q429:R429"/>
    <mergeCell ref="Q428:R428"/>
    <mergeCell ref="Q427:R427"/>
    <mergeCell ref="AA70:AB70"/>
    <mergeCell ref="AA71:AB71"/>
    <mergeCell ref="AA73:AB73"/>
    <mergeCell ref="AA74:AB74"/>
    <mergeCell ref="V81:Y81"/>
    <mergeCell ref="Q81:Q83"/>
    <mergeCell ref="Q79:Q80"/>
    <mergeCell ref="V29:W29"/>
    <mergeCell ref="X29:Y29"/>
    <mergeCell ref="V71:X71"/>
    <mergeCell ref="V70:X70"/>
    <mergeCell ref="Q109:Q110"/>
    <mergeCell ref="Q112:Q113"/>
    <mergeCell ref="V28:Y28"/>
    <mergeCell ref="V30:W30"/>
    <mergeCell ref="Y70:Z70"/>
    <mergeCell ref="Y71:Z71"/>
    <mergeCell ref="Y73:Z73"/>
    <mergeCell ref="Y74:Z74"/>
    <mergeCell ref="S412:S413"/>
    <mergeCell ref="P380:Q380"/>
    <mergeCell ref="P381:Q381"/>
    <mergeCell ref="P71:P72"/>
    <mergeCell ref="Q71:Q72"/>
    <mergeCell ref="P77:P78"/>
    <mergeCell ref="Q77:Q78"/>
    <mergeCell ref="P102:P103"/>
    <mergeCell ref="Q102:Q103"/>
    <mergeCell ref="V73:X73"/>
    <mergeCell ref="V74:X74"/>
    <mergeCell ref="V86:Y86"/>
    <mergeCell ref="P81:P83"/>
    <mergeCell ref="P79:P80"/>
    <mergeCell ref="P109:P110"/>
    <mergeCell ref="P112:P113"/>
    <mergeCell ref="O372:P372"/>
    <mergeCell ref="O374:P374"/>
    <mergeCell ref="O375:P375"/>
    <mergeCell ref="O376:P376"/>
    <mergeCell ref="O377:P377"/>
    <mergeCell ref="O370:P370"/>
    <mergeCell ref="Q430:V430"/>
    <mergeCell ref="V84:Y84"/>
    <mergeCell ref="V85:Y85"/>
    <mergeCell ref="V87:Y87"/>
    <mergeCell ref="V79:Y79"/>
    <mergeCell ref="O102:O103"/>
    <mergeCell ref="O112:O113"/>
    <mergeCell ref="H81:H83"/>
    <mergeCell ref="I81:I83"/>
    <mergeCell ref="N429:O429"/>
    <mergeCell ref="L412:L413"/>
    <mergeCell ref="M412:M413"/>
    <mergeCell ref="F413:H413"/>
    <mergeCell ref="N425:O425"/>
    <mergeCell ref="N426:O426"/>
    <mergeCell ref="N427:O427"/>
    <mergeCell ref="N428:O428"/>
    <mergeCell ref="N421:O421"/>
    <mergeCell ref="N422:O422"/>
    <mergeCell ref="N423:O423"/>
    <mergeCell ref="N424:O424"/>
    <mergeCell ref="P100:P101"/>
    <mergeCell ref="Q100:Q101"/>
    <mergeCell ref="O109:O110"/>
    <mergeCell ref="A370:C370"/>
    <mergeCell ref="C367:J367"/>
    <mergeCell ref="C366:J366"/>
    <mergeCell ref="C365:J365"/>
    <mergeCell ref="I112:I113"/>
    <mergeCell ref="H109:H110"/>
    <mergeCell ref="I109:I110"/>
    <mergeCell ref="A247:A328"/>
    <mergeCell ref="D109:D110"/>
    <mergeCell ref="E109:E110"/>
    <mergeCell ref="F109:F110"/>
    <mergeCell ref="G109:G110"/>
    <mergeCell ref="B117:B118"/>
    <mergeCell ref="C117:C118"/>
    <mergeCell ref="D117:D118"/>
    <mergeCell ref="E117:E118"/>
    <mergeCell ref="F117:F118"/>
    <mergeCell ref="G117:G118"/>
    <mergeCell ref="B119:B120"/>
    <mergeCell ref="C119:C120"/>
    <mergeCell ref="D119:D120"/>
    <mergeCell ref="E119:E120"/>
    <mergeCell ref="F119:F120"/>
    <mergeCell ref="A329:A353"/>
    <mergeCell ref="E71:E72"/>
    <mergeCell ref="F71:F72"/>
    <mergeCell ref="E79:E80"/>
    <mergeCell ref="F79:F80"/>
    <mergeCell ref="G79:G80"/>
    <mergeCell ref="K411:K413"/>
    <mergeCell ref="I411:I412"/>
    <mergeCell ref="J411:J412"/>
    <mergeCell ref="F402:H402"/>
    <mergeCell ref="F403:H403"/>
    <mergeCell ref="F404:H404"/>
    <mergeCell ref="F410:H410"/>
    <mergeCell ref="I377:J377"/>
    <mergeCell ref="A386:E386"/>
    <mergeCell ref="A387:C387"/>
    <mergeCell ref="A388:C388"/>
    <mergeCell ref="A401:H401"/>
    <mergeCell ref="A389:C389"/>
    <mergeCell ref="A390:C390"/>
    <mergeCell ref="I379:J379"/>
    <mergeCell ref="F378:H378"/>
    <mergeCell ref="I119:I120"/>
    <mergeCell ref="K119:K120"/>
    <mergeCell ref="D71:D72"/>
    <mergeCell ref="A3:A4"/>
    <mergeCell ref="E411:E412"/>
    <mergeCell ref="F411:H412"/>
    <mergeCell ref="A376:C376"/>
    <mergeCell ref="A377:C377"/>
    <mergeCell ref="A378:C378"/>
    <mergeCell ref="A379:C379"/>
    <mergeCell ref="A372:C372"/>
    <mergeCell ref="A373:C373"/>
    <mergeCell ref="A374:C374"/>
    <mergeCell ref="A375:C375"/>
    <mergeCell ref="A6:A10"/>
    <mergeCell ref="A11:A20"/>
    <mergeCell ref="G119:G120"/>
    <mergeCell ref="H119:H120"/>
    <mergeCell ref="B77:B78"/>
    <mergeCell ref="F377:H377"/>
    <mergeCell ref="B114:B116"/>
    <mergeCell ref="F372:H372"/>
    <mergeCell ref="F373:H373"/>
    <mergeCell ref="F374:H374"/>
    <mergeCell ref="F375:H375"/>
    <mergeCell ref="F376:H376"/>
    <mergeCell ref="F30:F31"/>
    <mergeCell ref="A413:C413"/>
    <mergeCell ref="A412:C412"/>
    <mergeCell ref="A394:C394"/>
    <mergeCell ref="A395:C395"/>
    <mergeCell ref="N420:O420"/>
    <mergeCell ref="A391:C391"/>
    <mergeCell ref="A392:C392"/>
    <mergeCell ref="A408:C408"/>
    <mergeCell ref="A409:C409"/>
    <mergeCell ref="A410:C410"/>
    <mergeCell ref="A402:C402"/>
    <mergeCell ref="A403:C403"/>
    <mergeCell ref="A393:C393"/>
    <mergeCell ref="A404:C404"/>
    <mergeCell ref="A396:C396"/>
    <mergeCell ref="A405:C405"/>
    <mergeCell ref="O403:O405"/>
    <mergeCell ref="O407:O410"/>
    <mergeCell ref="O406:P406"/>
    <mergeCell ref="O411:R411"/>
    <mergeCell ref="O412:R413"/>
    <mergeCell ref="A419:O419"/>
    <mergeCell ref="A406:C406"/>
    <mergeCell ref="A407:C407"/>
    <mergeCell ref="A411:C411"/>
    <mergeCell ref="A416:D416"/>
    <mergeCell ref="A415:C415"/>
    <mergeCell ref="F405:H405"/>
    <mergeCell ref="F406:H406"/>
    <mergeCell ref="F407:H407"/>
    <mergeCell ref="F408:H408"/>
    <mergeCell ref="F409:H409"/>
    <mergeCell ref="O136:O137"/>
    <mergeCell ref="H145:H146"/>
    <mergeCell ref="I145:I146"/>
    <mergeCell ref="N136:N137"/>
    <mergeCell ref="H136:H137"/>
    <mergeCell ref="I136:I137"/>
    <mergeCell ref="K136:K137"/>
    <mergeCell ref="K145:K146"/>
    <mergeCell ref="L145:L146"/>
    <mergeCell ref="O141:O142"/>
    <mergeCell ref="I378:J378"/>
    <mergeCell ref="O371:P371"/>
    <mergeCell ref="F379:H379"/>
    <mergeCell ref="O378:P378"/>
    <mergeCell ref="O379:P379"/>
    <mergeCell ref="O373:P373"/>
    <mergeCell ref="K79:K80"/>
    <mergeCell ref="K81:K83"/>
    <mergeCell ref="N77:N78"/>
    <mergeCell ref="O77:O78"/>
    <mergeCell ref="O81:O83"/>
    <mergeCell ref="O79:O80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K100:K101"/>
    <mergeCell ref="L100:L101"/>
    <mergeCell ref="M100:M101"/>
    <mergeCell ref="N100:N101"/>
    <mergeCell ref="O100:O101"/>
    <mergeCell ref="I77:I78"/>
    <mergeCell ref="F77:F78"/>
    <mergeCell ref="G77:G78"/>
    <mergeCell ref="H77:H78"/>
    <mergeCell ref="G81:G83"/>
    <mergeCell ref="I71:I72"/>
    <mergeCell ref="I79:I80"/>
    <mergeCell ref="I372:J372"/>
    <mergeCell ref="I373:J373"/>
    <mergeCell ref="I374:J374"/>
    <mergeCell ref="I375:J375"/>
    <mergeCell ref="I376:J376"/>
    <mergeCell ref="N141:N142"/>
    <mergeCell ref="M160:M161"/>
    <mergeCell ref="N160:N161"/>
    <mergeCell ref="N344:N345"/>
    <mergeCell ref="L77:L78"/>
    <mergeCell ref="M77:M78"/>
    <mergeCell ref="M71:M72"/>
    <mergeCell ref="L71:L72"/>
    <mergeCell ref="N71:N72"/>
    <mergeCell ref="K71:K72"/>
    <mergeCell ref="K77:K78"/>
    <mergeCell ref="L81:L83"/>
    <mergeCell ref="M81:M83"/>
    <mergeCell ref="N81:N83"/>
    <mergeCell ref="L79:L80"/>
    <mergeCell ref="M79:M80"/>
    <mergeCell ref="N79:N80"/>
    <mergeCell ref="O71:O72"/>
    <mergeCell ref="C77:C78"/>
    <mergeCell ref="D77:D78"/>
    <mergeCell ref="E77:E78"/>
    <mergeCell ref="A371:C371"/>
    <mergeCell ref="B136:B137"/>
    <mergeCell ref="C136:C137"/>
    <mergeCell ref="D136:D137"/>
    <mergeCell ref="E136:E137"/>
    <mergeCell ref="F136:F137"/>
    <mergeCell ref="G71:G72"/>
    <mergeCell ref="H71:H72"/>
    <mergeCell ref="H79:H80"/>
    <mergeCell ref="B81:B83"/>
    <mergeCell ref="C81:C83"/>
    <mergeCell ref="D81:D83"/>
    <mergeCell ref="B79:B80"/>
    <mergeCell ref="C79:C80"/>
    <mergeCell ref="D79:D80"/>
    <mergeCell ref="K366:O367"/>
    <mergeCell ref="A140:A172"/>
    <mergeCell ref="A51:A99"/>
    <mergeCell ref="E81:E83"/>
    <mergeCell ref="F81:F83"/>
    <mergeCell ref="A21:A32"/>
    <mergeCell ref="A33:A50"/>
    <mergeCell ref="A100:A139"/>
    <mergeCell ref="F371:H371"/>
    <mergeCell ref="F370:H370"/>
    <mergeCell ref="I370:J370"/>
    <mergeCell ref="I371:J371"/>
    <mergeCell ref="A173:A193"/>
    <mergeCell ref="B359:B360"/>
    <mergeCell ref="C359:C360"/>
    <mergeCell ref="D359:D360"/>
    <mergeCell ref="A194:A246"/>
    <mergeCell ref="B30:B31"/>
    <mergeCell ref="C30:C31"/>
    <mergeCell ref="B71:B72"/>
    <mergeCell ref="C71:C72"/>
    <mergeCell ref="B44:B45"/>
    <mergeCell ref="C44:C45"/>
    <mergeCell ref="D44:D45"/>
    <mergeCell ref="E44:E45"/>
    <mergeCell ref="F44:F45"/>
    <mergeCell ref="G44:G45"/>
    <mergeCell ref="H44:H45"/>
    <mergeCell ref="I44:I45"/>
    <mergeCell ref="X30:Y30"/>
    <mergeCell ref="V31:W31"/>
    <mergeCell ref="V32:W32"/>
    <mergeCell ref="X31:Y31"/>
    <mergeCell ref="X32:Y32"/>
    <mergeCell ref="V34:W34"/>
    <mergeCell ref="X34:Y34"/>
    <mergeCell ref="V13:Y13"/>
    <mergeCell ref="B3:B4"/>
    <mergeCell ref="C3:C4"/>
    <mergeCell ref="K3:O4"/>
    <mergeCell ref="J3:J4"/>
    <mergeCell ref="G3:G4"/>
    <mergeCell ref="H3:H4"/>
    <mergeCell ref="I3:I4"/>
    <mergeCell ref="B13:B14"/>
    <mergeCell ref="C13:C14"/>
    <mergeCell ref="D13:D14"/>
    <mergeCell ref="E13:E14"/>
    <mergeCell ref="V5:AB5"/>
    <mergeCell ref="P3:P4"/>
    <mergeCell ref="Q3:Q4"/>
    <mergeCell ref="D30:D31"/>
    <mergeCell ref="E30:E31"/>
    <mergeCell ref="P13:P14"/>
    <mergeCell ref="Q13:Q14"/>
    <mergeCell ref="V14:W14"/>
    <mergeCell ref="X14:Y14"/>
    <mergeCell ref="V15:W15"/>
    <mergeCell ref="V16:W16"/>
    <mergeCell ref="X15:Y15"/>
    <mergeCell ref="X16:Y16"/>
    <mergeCell ref="X17:Y17"/>
    <mergeCell ref="V17:W17"/>
    <mergeCell ref="F13:F14"/>
    <mergeCell ref="G13:G14"/>
    <mergeCell ref="H13:H14"/>
    <mergeCell ref="I13:I14"/>
    <mergeCell ref="K13:K14"/>
    <mergeCell ref="L13:L14"/>
    <mergeCell ref="M13:M14"/>
    <mergeCell ref="N13:N14"/>
    <mergeCell ref="O13:O14"/>
    <mergeCell ref="V19:W19"/>
    <mergeCell ref="X25:Y25"/>
    <mergeCell ref="V25:W25"/>
    <mergeCell ref="V18:W18"/>
    <mergeCell ref="X18:Y18"/>
    <mergeCell ref="V22:W22"/>
    <mergeCell ref="V24:W24"/>
    <mergeCell ref="X22:Y22"/>
    <mergeCell ref="X24:Y24"/>
    <mergeCell ref="V20:W20"/>
    <mergeCell ref="X20:Y20"/>
    <mergeCell ref="V21:W21"/>
    <mergeCell ref="V23:W23"/>
    <mergeCell ref="X19:Y19"/>
    <mergeCell ref="X21:Y21"/>
    <mergeCell ref="X23:Y23"/>
    <mergeCell ref="K44:K45"/>
    <mergeCell ref="L44:L45"/>
    <mergeCell ref="M44:M45"/>
    <mergeCell ref="N44:N45"/>
    <mergeCell ref="O44:O45"/>
    <mergeCell ref="P44:P45"/>
    <mergeCell ref="Q44:Q45"/>
    <mergeCell ref="G30:G31"/>
    <mergeCell ref="H30:H31"/>
    <mergeCell ref="I30:I31"/>
    <mergeCell ref="K30:K31"/>
    <mergeCell ref="L30:L31"/>
    <mergeCell ref="M30:M31"/>
    <mergeCell ref="N30:N31"/>
    <mergeCell ref="O30:O31"/>
    <mergeCell ref="Q30:Q31"/>
    <mergeCell ref="P30:P31"/>
    <mergeCell ref="B112:B113"/>
    <mergeCell ref="K109:K110"/>
    <mergeCell ref="L102:L103"/>
    <mergeCell ref="M102:M103"/>
    <mergeCell ref="N102:N103"/>
    <mergeCell ref="H102:H103"/>
    <mergeCell ref="I102:I103"/>
    <mergeCell ref="K102:K103"/>
    <mergeCell ref="B102:B103"/>
    <mergeCell ref="C102:C103"/>
    <mergeCell ref="D102:D103"/>
    <mergeCell ref="E102:E103"/>
    <mergeCell ref="F102:F103"/>
    <mergeCell ref="G102:G103"/>
    <mergeCell ref="B109:B110"/>
    <mergeCell ref="C109:C110"/>
    <mergeCell ref="L109:L110"/>
    <mergeCell ref="M109:M110"/>
    <mergeCell ref="N109:N110"/>
    <mergeCell ref="C114:C116"/>
    <mergeCell ref="D114:D116"/>
    <mergeCell ref="E114:E116"/>
    <mergeCell ref="F114:F116"/>
    <mergeCell ref="G114:G116"/>
    <mergeCell ref="H114:H116"/>
    <mergeCell ref="I114:I116"/>
    <mergeCell ref="K114:K116"/>
    <mergeCell ref="C112:C113"/>
    <mergeCell ref="D112:D113"/>
    <mergeCell ref="E112:E113"/>
    <mergeCell ref="F112:F113"/>
    <mergeCell ref="G112:G113"/>
    <mergeCell ref="K112:K113"/>
    <mergeCell ref="H112:H113"/>
    <mergeCell ref="O117:O118"/>
    <mergeCell ref="P117:P118"/>
    <mergeCell ref="Q117:Q118"/>
    <mergeCell ref="L112:L113"/>
    <mergeCell ref="M112:M113"/>
    <mergeCell ref="N112:N113"/>
    <mergeCell ref="O119:O120"/>
    <mergeCell ref="P119:P120"/>
    <mergeCell ref="Q119:Q120"/>
    <mergeCell ref="L114:L116"/>
    <mergeCell ref="M114:M116"/>
    <mergeCell ref="N114:N116"/>
    <mergeCell ref="O114:O116"/>
    <mergeCell ref="P114:P116"/>
    <mergeCell ref="Q114:Q116"/>
    <mergeCell ref="L117:L118"/>
    <mergeCell ref="M117:M118"/>
    <mergeCell ref="N117:N118"/>
    <mergeCell ref="H117:H118"/>
    <mergeCell ref="I117:I118"/>
    <mergeCell ref="K117:K118"/>
    <mergeCell ref="K123:K124"/>
    <mergeCell ref="L123:L124"/>
    <mergeCell ref="M123:M124"/>
    <mergeCell ref="N123:N124"/>
    <mergeCell ref="L119:L120"/>
    <mergeCell ref="M119:M120"/>
    <mergeCell ref="N119:N120"/>
    <mergeCell ref="I123:I124"/>
    <mergeCell ref="Q123:Q124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K127:K128"/>
    <mergeCell ref="L127:L128"/>
    <mergeCell ref="M127:M128"/>
    <mergeCell ref="N127:N128"/>
    <mergeCell ref="O127:O128"/>
    <mergeCell ref="P127:P128"/>
    <mergeCell ref="Q127:Q128"/>
    <mergeCell ref="B123:B124"/>
    <mergeCell ref="C123:C124"/>
    <mergeCell ref="D123:D124"/>
    <mergeCell ref="F123:F124"/>
    <mergeCell ref="G123:G124"/>
    <mergeCell ref="H123:H124"/>
    <mergeCell ref="E123:E124"/>
    <mergeCell ref="O123:O124"/>
    <mergeCell ref="G136:G137"/>
    <mergeCell ref="L136:L137"/>
    <mergeCell ref="M136:M137"/>
    <mergeCell ref="P123:P124"/>
    <mergeCell ref="N156:N157"/>
    <mergeCell ref="O156:O157"/>
    <mergeCell ref="P156:P157"/>
    <mergeCell ref="Q156:Q157"/>
    <mergeCell ref="B145:B146"/>
    <mergeCell ref="C145:C146"/>
    <mergeCell ref="D145:D146"/>
    <mergeCell ref="E145:E146"/>
    <mergeCell ref="P136:P137"/>
    <mergeCell ref="Q136:Q137"/>
    <mergeCell ref="B141:B142"/>
    <mergeCell ref="C141:C142"/>
    <mergeCell ref="D141:D142"/>
    <mergeCell ref="F141:F142"/>
    <mergeCell ref="G141:G142"/>
    <mergeCell ref="H141:H142"/>
    <mergeCell ref="I141:I142"/>
    <mergeCell ref="K141:K142"/>
    <mergeCell ref="L141:L142"/>
    <mergeCell ref="M141:M142"/>
    <mergeCell ref="P141:P142"/>
    <mergeCell ref="Q141:Q142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L156:L157"/>
    <mergeCell ref="K156:K157"/>
    <mergeCell ref="F145:F146"/>
    <mergeCell ref="G145:G146"/>
    <mergeCell ref="E141:E142"/>
    <mergeCell ref="O160:O161"/>
    <mergeCell ref="P160:P161"/>
    <mergeCell ref="Q160:Q161"/>
    <mergeCell ref="B158:B159"/>
    <mergeCell ref="C158:C159"/>
    <mergeCell ref="D158:D159"/>
    <mergeCell ref="E158:E159"/>
    <mergeCell ref="F158:F159"/>
    <mergeCell ref="G158:G159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L158:L159"/>
    <mergeCell ref="H158:H159"/>
    <mergeCell ref="I158:I159"/>
    <mergeCell ref="K158:K159"/>
    <mergeCell ref="K164:K165"/>
    <mergeCell ref="L164:L165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K160:K161"/>
    <mergeCell ref="L160:L161"/>
    <mergeCell ref="B330:B331"/>
    <mergeCell ref="C330:C331"/>
    <mergeCell ref="D330:D331"/>
    <mergeCell ref="E330:E331"/>
    <mergeCell ref="F330:F331"/>
    <mergeCell ref="G330:G331"/>
    <mergeCell ref="H330:H331"/>
    <mergeCell ref="I330:I331"/>
    <mergeCell ref="K330:K331"/>
    <mergeCell ref="B334:B335"/>
    <mergeCell ref="C334:C335"/>
    <mergeCell ref="D334:D335"/>
    <mergeCell ref="E334:E335"/>
    <mergeCell ref="F334:F335"/>
    <mergeCell ref="G334:G335"/>
    <mergeCell ref="H334:H335"/>
    <mergeCell ref="I334:I335"/>
    <mergeCell ref="K334:K335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K332:K333"/>
    <mergeCell ref="C344:C345"/>
    <mergeCell ref="D344:D345"/>
    <mergeCell ref="E344:E345"/>
    <mergeCell ref="F344:F345"/>
    <mergeCell ref="G344:G345"/>
    <mergeCell ref="H344:H345"/>
    <mergeCell ref="I344:I345"/>
    <mergeCell ref="K344:K345"/>
    <mergeCell ref="H342:H343"/>
    <mergeCell ref="I342:I343"/>
    <mergeCell ref="K342:K343"/>
    <mergeCell ref="B346:B347"/>
    <mergeCell ref="C346:C347"/>
    <mergeCell ref="D346:D347"/>
    <mergeCell ref="E346:E347"/>
    <mergeCell ref="F346:F347"/>
    <mergeCell ref="G346:G347"/>
    <mergeCell ref="H346:H347"/>
    <mergeCell ref="I346:I347"/>
    <mergeCell ref="K346:K347"/>
    <mergeCell ref="O344:O345"/>
    <mergeCell ref="P344:P345"/>
    <mergeCell ref="Q344:Q345"/>
    <mergeCell ref="V33:W33"/>
    <mergeCell ref="M332:M333"/>
    <mergeCell ref="N332:N333"/>
    <mergeCell ref="N342:N343"/>
    <mergeCell ref="O334:O335"/>
    <mergeCell ref="P334:P335"/>
    <mergeCell ref="Q334:Q335"/>
    <mergeCell ref="O332:O333"/>
    <mergeCell ref="P332:P333"/>
    <mergeCell ref="Q332:Q333"/>
    <mergeCell ref="O164:O165"/>
    <mergeCell ref="P164:P165"/>
    <mergeCell ref="Q164:Q165"/>
    <mergeCell ref="M145:M146"/>
    <mergeCell ref="N145:N146"/>
    <mergeCell ref="O145:O146"/>
    <mergeCell ref="P145:P146"/>
    <mergeCell ref="Q145:Q146"/>
    <mergeCell ref="M156:M157"/>
    <mergeCell ref="Q158:Q159"/>
    <mergeCell ref="O342:O343"/>
    <mergeCell ref="P342:P343"/>
    <mergeCell ref="Q342:Q343"/>
    <mergeCell ref="L344:L345"/>
    <mergeCell ref="N438:O438"/>
    <mergeCell ref="N439:O439"/>
    <mergeCell ref="X33:Y33"/>
    <mergeCell ref="L332:L333"/>
    <mergeCell ref="L330:L331"/>
    <mergeCell ref="M330:M331"/>
    <mergeCell ref="N330:N331"/>
    <mergeCell ref="O330:O331"/>
    <mergeCell ref="P330:P331"/>
    <mergeCell ref="Q330:Q331"/>
    <mergeCell ref="M158:M159"/>
    <mergeCell ref="N158:N159"/>
    <mergeCell ref="M164:M165"/>
    <mergeCell ref="N164:N165"/>
    <mergeCell ref="O158:O159"/>
    <mergeCell ref="P158:P159"/>
    <mergeCell ref="O346:O347"/>
    <mergeCell ref="P346:P347"/>
    <mergeCell ref="Q346:Q347"/>
    <mergeCell ref="M344:M345"/>
    <mergeCell ref="R119:R120"/>
    <mergeCell ref="N440:O440"/>
    <mergeCell ref="N441:O441"/>
    <mergeCell ref="N442:O442"/>
    <mergeCell ref="A432:O432"/>
    <mergeCell ref="L334:L335"/>
    <mergeCell ref="M334:M335"/>
    <mergeCell ref="N334:N335"/>
    <mergeCell ref="N433:O433"/>
    <mergeCell ref="N434:O434"/>
    <mergeCell ref="N435:O435"/>
    <mergeCell ref="N436:O436"/>
    <mergeCell ref="N437:O437"/>
    <mergeCell ref="L346:L347"/>
    <mergeCell ref="M346:M347"/>
    <mergeCell ref="N346:N347"/>
    <mergeCell ref="B344:B345"/>
    <mergeCell ref="B342:B343"/>
    <mergeCell ref="C342:C343"/>
    <mergeCell ref="D342:D343"/>
    <mergeCell ref="E342:E343"/>
    <mergeCell ref="F342:F343"/>
    <mergeCell ref="G342:G343"/>
    <mergeCell ref="L342:L343"/>
    <mergeCell ref="M342:M343"/>
    <mergeCell ref="AD14:AE14"/>
    <mergeCell ref="AD15:AE15"/>
    <mergeCell ref="AD16:AE16"/>
    <mergeCell ref="AD17:AE17"/>
    <mergeCell ref="AA15:AC15"/>
    <mergeCell ref="AA14:AC14"/>
    <mergeCell ref="AA13:AE13"/>
    <mergeCell ref="AA16:AC16"/>
    <mergeCell ref="AD23:AE23"/>
    <mergeCell ref="AD25:AE25"/>
    <mergeCell ref="AD18:AE18"/>
    <mergeCell ref="AD19:AE19"/>
    <mergeCell ref="AD20:AE20"/>
    <mergeCell ref="AD21:AE21"/>
    <mergeCell ref="AD22:AE22"/>
    <mergeCell ref="AA18:AC18"/>
    <mergeCell ref="AA24:AC24"/>
    <mergeCell ref="AA25:AC25"/>
    <mergeCell ref="AA23:AC23"/>
    <mergeCell ref="AA19:AC19"/>
    <mergeCell ref="AA20:AC20"/>
    <mergeCell ref="AA21:AC21"/>
    <mergeCell ref="AA22:AC22"/>
    <mergeCell ref="AD24:AE24"/>
    <mergeCell ref="R123:R124"/>
    <mergeCell ref="R127:R128"/>
    <mergeCell ref="R136:R137"/>
    <mergeCell ref="R141:R142"/>
    <mergeCell ref="R145:R146"/>
    <mergeCell ref="R156:R157"/>
    <mergeCell ref="R158:R159"/>
    <mergeCell ref="R160:R161"/>
    <mergeCell ref="R77:R78"/>
    <mergeCell ref="R79:R80"/>
    <mergeCell ref="R81:R83"/>
    <mergeCell ref="R100:R101"/>
    <mergeCell ref="R102:R103"/>
    <mergeCell ref="R109:R110"/>
    <mergeCell ref="R112:R113"/>
    <mergeCell ref="R114:R116"/>
    <mergeCell ref="R117:R118"/>
    <mergeCell ref="R334:R335"/>
    <mergeCell ref="R342:R343"/>
    <mergeCell ref="R344:R345"/>
    <mergeCell ref="R346:R347"/>
    <mergeCell ref="S13:S14"/>
    <mergeCell ref="S30:S31"/>
    <mergeCell ref="S44:S45"/>
    <mergeCell ref="S71:S72"/>
    <mergeCell ref="S77:S78"/>
    <mergeCell ref="S79:S80"/>
    <mergeCell ref="S81:S83"/>
    <mergeCell ref="S100:S101"/>
    <mergeCell ref="S102:S103"/>
    <mergeCell ref="S109:S110"/>
    <mergeCell ref="S112:S113"/>
    <mergeCell ref="S114:S116"/>
    <mergeCell ref="S117:S118"/>
    <mergeCell ref="S119:S120"/>
    <mergeCell ref="S123:S124"/>
    <mergeCell ref="S127:S128"/>
    <mergeCell ref="R13:R14"/>
    <mergeCell ref="R30:R31"/>
    <mergeCell ref="R44:R45"/>
    <mergeCell ref="R71:R72"/>
    <mergeCell ref="S141:S142"/>
    <mergeCell ref="S145:S146"/>
    <mergeCell ref="S156:S157"/>
    <mergeCell ref="S158:S159"/>
    <mergeCell ref="S160:S161"/>
    <mergeCell ref="S164:S165"/>
    <mergeCell ref="S330:S331"/>
    <mergeCell ref="S332:S333"/>
    <mergeCell ref="R164:R165"/>
    <mergeCell ref="R330:R331"/>
    <mergeCell ref="R332:R333"/>
    <mergeCell ref="S334:S335"/>
    <mergeCell ref="S342:S343"/>
    <mergeCell ref="S344:S345"/>
    <mergeCell ref="S346:S347"/>
    <mergeCell ref="R3:S3"/>
    <mergeCell ref="A1:S2"/>
    <mergeCell ref="A354:A358"/>
    <mergeCell ref="A359:A360"/>
    <mergeCell ref="E359:E360"/>
    <mergeCell ref="F359:F360"/>
    <mergeCell ref="G359:G360"/>
    <mergeCell ref="H359:H360"/>
    <mergeCell ref="I359:I360"/>
    <mergeCell ref="J359:J360"/>
    <mergeCell ref="K359:K360"/>
    <mergeCell ref="L359:L360"/>
    <mergeCell ref="M359:M360"/>
    <mergeCell ref="N359:N360"/>
    <mergeCell ref="O359:O360"/>
    <mergeCell ref="P359:P360"/>
    <mergeCell ref="Q359:Q360"/>
    <mergeCell ref="R359:R360"/>
    <mergeCell ref="S359:S360"/>
    <mergeCell ref="S136:S137"/>
  </mergeCells>
  <phoneticPr fontId="8" type="noConversion"/>
  <pageMargins left="0.7" right="0.7" top="0.75" bottom="0.75" header="0.3" footer="0.3"/>
  <pageSetup paperSize="9" scale="37" fitToHeight="0" orientation="portrait" r:id="rId1"/>
  <ignoredErrors>
    <ignoredError sqref="C36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4D6A3-F72A-4EE5-B845-44B67D42C538}">
  <sheetPr>
    <pageSetUpPr fitToPage="1"/>
  </sheetPr>
  <dimension ref="A1:P48"/>
  <sheetViews>
    <sheetView tabSelected="1" workbookViewId="0">
      <selection activeCell="C16" sqref="C16"/>
    </sheetView>
  </sheetViews>
  <sheetFormatPr defaultRowHeight="15" x14ac:dyDescent="0.25"/>
  <cols>
    <col min="1" max="1" width="10.5703125" customWidth="1"/>
    <col min="2" max="2" width="21.7109375" bestFit="1" customWidth="1"/>
    <col min="7" max="7" width="20.85546875" customWidth="1"/>
    <col min="8" max="8" width="16.28515625" customWidth="1"/>
    <col min="9" max="9" width="17.5703125" customWidth="1"/>
  </cols>
  <sheetData>
    <row r="1" spans="1:16" ht="30" customHeight="1" thickBot="1" x14ac:dyDescent="0.3">
      <c r="A1" s="1560" t="s">
        <v>767</v>
      </c>
      <c r="B1" s="1561"/>
      <c r="C1" s="1561"/>
      <c r="D1" s="1561"/>
      <c r="E1" s="1561"/>
      <c r="F1" s="1561"/>
      <c r="G1" s="1561"/>
      <c r="H1" s="1562"/>
      <c r="L1" s="463"/>
    </row>
    <row r="2" spans="1:16" ht="40.5" customHeight="1" thickTop="1" x14ac:dyDescent="0.25">
      <c r="A2" s="1565" t="s">
        <v>72</v>
      </c>
      <c r="B2" s="1566"/>
      <c r="C2" s="200" t="s">
        <v>28</v>
      </c>
      <c r="D2" s="201" t="s">
        <v>29</v>
      </c>
      <c r="E2" s="201" t="s">
        <v>30</v>
      </c>
      <c r="F2" s="201" t="s">
        <v>62</v>
      </c>
      <c r="G2" s="202" t="s">
        <v>75</v>
      </c>
      <c r="H2" s="203" t="s">
        <v>76</v>
      </c>
      <c r="J2" s="1551" t="s">
        <v>80</v>
      </c>
      <c r="K2" s="1552"/>
      <c r="L2" s="1552"/>
      <c r="M2" s="1552"/>
      <c r="N2" s="1552"/>
      <c r="O2" s="1552"/>
      <c r="P2" s="1553"/>
    </row>
    <row r="3" spans="1:16" x14ac:dyDescent="0.25">
      <c r="A3" s="1567" t="s">
        <v>73</v>
      </c>
      <c r="B3" s="1568"/>
      <c r="C3" s="197">
        <f>COUNTIFS('Plot By Plot SoA'!$R$6:$R$353,"Y",'Plot By Plot SoA'!K6:K353,"Y")</f>
        <v>22</v>
      </c>
      <c r="D3" s="198">
        <f>COUNTIFS('Plot By Plot SoA'!$R$6:$R$353,"Y",'Plot By Plot SoA'!L6:L353,"Y")</f>
        <v>69</v>
      </c>
      <c r="E3" s="198">
        <f>COUNTIFS('Plot By Plot SoA'!$R$6:$R$353,"Y",'Plot By Plot SoA'!M6:M353,"Y")</f>
        <v>62</v>
      </c>
      <c r="F3" s="198">
        <f>COUNTIFS('Plot By Plot SoA'!$R$6:$R$353,"Y",'Plot By Plot SoA'!N6:N353,"Y")</f>
        <v>13</v>
      </c>
      <c r="G3" s="199">
        <f>SUM(C3:F3)</f>
        <v>166</v>
      </c>
      <c r="H3" s="1556">
        <f>SUM(G4/G3)</f>
        <v>935.20783451807245</v>
      </c>
      <c r="J3" s="164"/>
      <c r="K3" s="159" t="s">
        <v>60</v>
      </c>
      <c r="L3" s="464" t="s">
        <v>192</v>
      </c>
      <c r="M3" s="159" t="s">
        <v>78</v>
      </c>
      <c r="N3" s="159" t="s">
        <v>55</v>
      </c>
      <c r="O3" s="160" t="s">
        <v>56</v>
      </c>
      <c r="P3" s="163" t="s">
        <v>52</v>
      </c>
    </row>
    <row r="4" spans="1:16" ht="16.5" x14ac:dyDescent="0.35">
      <c r="A4" s="185"/>
      <c r="B4" s="193" t="s">
        <v>42</v>
      </c>
      <c r="C4" s="189">
        <f>SUM(C5*10.7639)</f>
        <v>11330.08114</v>
      </c>
      <c r="D4" s="181">
        <f>SUM(D5*10.7639)</f>
        <v>60200.33992000002</v>
      </c>
      <c r="E4" s="181">
        <f>SUM(E5*10.7639)</f>
        <v>64939.68508999997</v>
      </c>
      <c r="F4" s="181">
        <f>SUM(F5*10.7639)</f>
        <v>18774.394380000002</v>
      </c>
      <c r="G4" s="1133">
        <f>SUM(C4:F4)</f>
        <v>155244.50053000002</v>
      </c>
      <c r="H4" s="1557"/>
      <c r="J4" s="1132" t="s">
        <v>28</v>
      </c>
      <c r="K4" s="204" cm="1">
        <f t="array" ref="K4">SUM(IF(('Plot By Plot SoA'!E6:E353="Y")*('Plot By Plot SoA'!K6:K353="Y")*('Plot By Plot SoA'!R6:R353="Y"),1,0))</f>
        <v>0</v>
      </c>
      <c r="L4" s="464" cm="1">
        <f t="array" ref="L4">SUM(IF(('Plot By Plot SoA'!F6:F353="Y")*('Plot By Plot SoA'!K6:K353="Y")*('Plot By Plot SoA'!R6:R353="Y"),1,0))</f>
        <v>0</v>
      </c>
      <c r="M4" s="464" cm="1">
        <f t="array" ref="M4">SUM(IF(('Plot By Plot SoA'!G6:G353="Y")*('Plot By Plot SoA'!K6:K353="Y")*('Plot By Plot SoA'!R6:R353="Y"),1,0))</f>
        <v>22</v>
      </c>
      <c r="N4" s="464" cm="1">
        <f t="array" ref="N4">SUM(IF(('Plot By Plot SoA'!H6:H353="Y")*('Plot By Plot SoA'!K6:K353="Y")*('Plot By Plot SoA'!R6:R353="Y"),1,0))</f>
        <v>0</v>
      </c>
      <c r="O4" s="464" cm="1">
        <f t="array" ref="O4">SUM(IF(('Plot By Plot SoA'!I6:I353="Y")*('Plot By Plot SoA'!K6:K353="Y")*('Plot By Plot SoA'!R6:R353="Y"),1,0))</f>
        <v>0</v>
      </c>
      <c r="P4" s="1130">
        <f>SUM(K4:O4)</f>
        <v>22</v>
      </c>
    </row>
    <row r="5" spans="1:16" ht="16.5" x14ac:dyDescent="0.35">
      <c r="A5" s="185"/>
      <c r="B5" s="194" t="s">
        <v>41</v>
      </c>
      <c r="C5" s="190">
        <f>SUMIFS('Plot By Plot SoA'!C6:C353, 'Plot By Plot SoA'!K6:K353,"Y",'Plot By Plot SoA'!R6:R353,"Y")</f>
        <v>1052.6000000000001</v>
      </c>
      <c r="D5" s="182">
        <f>SUMIFS('Plot By Plot SoA'!C6:C353, 'Plot By Plot SoA'!L6:L353,"Y",'Plot By Plot SoA'!R6:R353,"Y")</f>
        <v>5592.800000000002</v>
      </c>
      <c r="E5" s="182">
        <f>SUMIFS('Plot By Plot SoA'!C6:C353, 'Plot By Plot SoA'!M6:M353,"Y",'Plot By Plot SoA'!R6:R353,"Y")</f>
        <v>6033.0999999999976</v>
      </c>
      <c r="F5" s="182">
        <f>SUMIFS('Plot By Plot SoA'!C6:C353, 'Plot By Plot SoA'!N6:N353,"Y",'Plot By Plot SoA'!R6:R353,"Y")</f>
        <v>1744.2000000000003</v>
      </c>
      <c r="G5" s="183">
        <f>SUM(C5:F5)</f>
        <v>14422.7</v>
      </c>
      <c r="H5" s="1557"/>
      <c r="J5" s="155" t="s">
        <v>29</v>
      </c>
      <c r="K5" s="204" cm="1">
        <f t="array" ref="K5">SUM(IF(('Plot By Plot SoA'!E6:E353="Y")*('Plot By Plot SoA'!L6:L353="Y")*('Plot By Plot SoA'!R6:R353="Y"),1,0))</f>
        <v>44</v>
      </c>
      <c r="L5" s="204" cm="1">
        <f t="array" ref="L5">SUM(IF(('Plot By Plot SoA'!F6:F353="Y")*('Plot By Plot SoA'!L6:L353="Y")*('Plot By Plot SoA'!R6:R353="Y"),1,0))</f>
        <v>3</v>
      </c>
      <c r="M5" s="204" cm="1">
        <f t="array" ref="M5">SUM(IF(('Plot By Plot SoA'!G6:G353="Y")*('Plot By Plot SoA'!L6:L353="Y")*('Plot By Plot SoA'!R6:R353="Y"),1,0))</f>
        <v>21</v>
      </c>
      <c r="N5" s="204" cm="1">
        <f t="array" ref="N5">SUM(IF(('Plot By Plot SoA'!H6:H353="Y")*('Plot By Plot SoA'!L6:L353="Y")*('Plot By Plot SoA'!R6:R353="Y"),1,0))</f>
        <v>0</v>
      </c>
      <c r="O5" s="204" cm="1">
        <f t="array" ref="O5">SUM(IF(('Plot By Plot SoA'!I6:I353="Y")*('Plot By Plot SoA'!L6:L353="Y")*('Plot By Plot SoA'!R6:R353="Y"),1,0))</f>
        <v>1</v>
      </c>
      <c r="P5" s="1131">
        <f>SUM(K5:O5)</f>
        <v>69</v>
      </c>
    </row>
    <row r="6" spans="1:16" ht="16.5" x14ac:dyDescent="0.35">
      <c r="A6" s="185"/>
      <c r="B6" s="195" t="s">
        <v>79</v>
      </c>
      <c r="C6" s="191">
        <f>SUM(C4/C3)</f>
        <v>515.00368818181823</v>
      </c>
      <c r="D6" s="184">
        <f>SUM(D4/D3)</f>
        <v>872.46869449275391</v>
      </c>
      <c r="E6" s="184">
        <f>SUM(E4/E3)</f>
        <v>1047.4142756451608</v>
      </c>
      <c r="F6" s="184">
        <f>SUM(F4/F3)</f>
        <v>1444.1841830769231</v>
      </c>
      <c r="G6" s="180" t="s">
        <v>77</v>
      </c>
      <c r="H6" s="1557"/>
      <c r="J6" s="155" t="s">
        <v>30</v>
      </c>
      <c r="K6" s="204" cm="1">
        <f t="array" ref="K6">SUM(IF(('Plot By Plot SoA'!E6:E353="Y")*('Plot By Plot SoA'!M6:M353="Y")*('Plot By Plot SoA'!R6:R353="Y"),1,0))</f>
        <v>47</v>
      </c>
      <c r="L6" s="204" cm="1">
        <f t="array" ref="L6">SUM(IF(('Plot By Plot SoA'!F6:F353="Y")*('Plot By Plot SoA'!M6:M353="Y")*('Plot By Plot SoA'!R6:R353="Y"),1,0))</f>
        <v>0</v>
      </c>
      <c r="M6" s="204" cm="1">
        <f t="array" ref="M6">SUM(IF(('Plot By Plot SoA'!G6:G353="Y")*('Plot By Plot SoA'!M6:M353="Y")*('Plot By Plot SoA'!R6:R353="Y"),1,0))</f>
        <v>15</v>
      </c>
      <c r="N6" s="204" cm="1">
        <f t="array" ref="N6">SUM(IF(('Plot By Plot SoA'!H6:H353="Y")*('Plot By Plot SoA'!M6:M353="Y")*('Plot By Plot SoA'!R6:R353="Y"),1,0))</f>
        <v>0</v>
      </c>
      <c r="O6" s="206" cm="1">
        <f t="array" ref="O6">SUM(IF(('Plot By Plot SoA'!I6:I353="Y")*('Plot By Plot SoA'!M6:M353="Y")*('Plot By Plot SoA'!R6:R353="Y"),1,0))</f>
        <v>0</v>
      </c>
      <c r="P6" s="210">
        <f>SUM(K6:O6)</f>
        <v>62</v>
      </c>
    </row>
    <row r="7" spans="1:16" ht="17.25" thickBot="1" x14ac:dyDescent="0.4">
      <c r="A7" s="186"/>
      <c r="B7" s="196" t="s">
        <v>74</v>
      </c>
      <c r="C7" s="192">
        <f>SUM(C5/C3)</f>
        <v>47.845454545454551</v>
      </c>
      <c r="D7" s="187">
        <f>SUM(D5/D3)</f>
        <v>81.055072463768141</v>
      </c>
      <c r="E7" s="187">
        <f>SUM(E5/E3)</f>
        <v>97.308064516128994</v>
      </c>
      <c r="F7" s="187">
        <f>SUM(F5/F3)</f>
        <v>134.16923076923078</v>
      </c>
      <c r="G7" s="188" t="s">
        <v>77</v>
      </c>
      <c r="H7" s="1558"/>
      <c r="J7" s="165" t="s">
        <v>62</v>
      </c>
      <c r="K7" s="207" cm="1">
        <f t="array" ref="K7">SUM(IF(('Plot By Plot SoA'!E6:E353="Y")*('Plot By Plot SoA'!N6:N353="Y")*('Plot By Plot SoA'!R6:R353="Y"),1,0))</f>
        <v>13</v>
      </c>
      <c r="L7" s="204" cm="1">
        <f t="array" ref="L7">SUM(IF(('Plot By Plot SoA'!F6:F353="Y")*('Plot By Plot SoA'!N6:N353="Y")*('Plot By Plot SoA'!R6:R353="Y"),1,0))</f>
        <v>0</v>
      </c>
      <c r="M7" s="208" cm="1">
        <f t="array" ref="M7">SUM(IF(('Plot By Plot SoA'!G6:G353="Y")*('Plot By Plot SoA'!N6:N353="Y")*('Plot By Plot SoA'!R6:R353="Y"),1,0))</f>
        <v>0</v>
      </c>
      <c r="N7" s="208" cm="1">
        <f t="array" ref="N7">SUM(IF(('Plot By Plot SoA'!H6:H353="Y")*('Plot By Plot SoA'!N6:N353="Y")*('Plot By Plot SoA'!R6:R353="Y"),1,0))</f>
        <v>0</v>
      </c>
      <c r="O7" s="209" cm="1">
        <f t="array" ref="O7">SUM(IF(('Plot By Plot SoA'!I6:I353="Y")*('Plot By Plot SoA'!N6:N353="Y")*('Plot By Plot SoA'!R6:R353="Y"),1,0))</f>
        <v>0</v>
      </c>
      <c r="P7" s="210">
        <f>SUM(K7:O7)</f>
        <v>13</v>
      </c>
    </row>
    <row r="8" spans="1:16" ht="15.75" thickBot="1" x14ac:dyDescent="0.3">
      <c r="A8" s="1559"/>
      <c r="B8" s="1559"/>
      <c r="C8" s="1559"/>
      <c r="D8" s="1559"/>
      <c r="E8" s="1559"/>
      <c r="F8" s="1559"/>
      <c r="G8" s="1559"/>
      <c r="H8" s="1559"/>
      <c r="J8" s="156" t="s">
        <v>52</v>
      </c>
      <c r="K8" s="212">
        <f>SUM(K4:K7)</f>
        <v>104</v>
      </c>
      <c r="L8" s="465">
        <f>SUM(L4:L7)</f>
        <v>3</v>
      </c>
      <c r="M8" s="212">
        <f>SUM(M4:M7)</f>
        <v>58</v>
      </c>
      <c r="N8" s="212">
        <f>SUM(N4:N7)</f>
        <v>0</v>
      </c>
      <c r="O8" s="212">
        <f>SUM(O4:O7)</f>
        <v>1</v>
      </c>
      <c r="P8" s="211">
        <f>SUM(K8:O8)</f>
        <v>166</v>
      </c>
    </row>
    <row r="9" spans="1:16" x14ac:dyDescent="0.25">
      <c r="A9" s="1192"/>
      <c r="B9" s="1192"/>
      <c r="C9" s="1192"/>
      <c r="D9" s="1192"/>
      <c r="E9" s="1192"/>
      <c r="F9" s="1192"/>
      <c r="G9" s="1192"/>
      <c r="H9" s="1192"/>
    </row>
    <row r="10" spans="1:16" x14ac:dyDescent="0.25">
      <c r="A10" s="1192"/>
      <c r="B10" s="1192"/>
      <c r="C10" s="1192"/>
      <c r="D10" s="1192"/>
      <c r="E10" s="1192"/>
      <c r="F10" s="1192"/>
      <c r="G10" s="1192"/>
      <c r="H10" s="1192"/>
    </row>
    <row r="11" spans="1:16" x14ac:dyDescent="0.25">
      <c r="A11" s="1192"/>
      <c r="B11" s="1192"/>
      <c r="C11" s="1192"/>
      <c r="D11" s="1192"/>
      <c r="E11" s="1192"/>
      <c r="F11" s="1192"/>
      <c r="G11" s="1192"/>
      <c r="H11" s="1192"/>
    </row>
    <row r="13" spans="1:16" ht="15.75" thickBot="1" x14ac:dyDescent="0.3"/>
    <row r="14" spans="1:16" ht="26.25" customHeight="1" thickBot="1" x14ac:dyDescent="0.3">
      <c r="A14" s="1560" t="s">
        <v>766</v>
      </c>
      <c r="B14" s="1561"/>
      <c r="C14" s="1561"/>
      <c r="D14" s="1561"/>
      <c r="E14" s="1561"/>
      <c r="F14" s="1561"/>
      <c r="G14" s="1561"/>
      <c r="H14" s="1562"/>
    </row>
    <row r="15" spans="1:16" ht="40.5" customHeight="1" thickTop="1" x14ac:dyDescent="0.25">
      <c r="A15" s="1565" t="s">
        <v>72</v>
      </c>
      <c r="B15" s="1566"/>
      <c r="C15" s="200" t="s">
        <v>28</v>
      </c>
      <c r="D15" s="201" t="s">
        <v>29</v>
      </c>
      <c r="E15" s="201" t="s">
        <v>30</v>
      </c>
      <c r="F15" s="201" t="s">
        <v>62</v>
      </c>
      <c r="G15" s="202" t="s">
        <v>75</v>
      </c>
      <c r="H15" s="203" t="s">
        <v>76</v>
      </c>
      <c r="J15" s="1551" t="s">
        <v>82</v>
      </c>
      <c r="K15" s="1552"/>
      <c r="L15" s="1552"/>
      <c r="M15" s="1552"/>
      <c r="N15" s="1552"/>
      <c r="O15" s="1552"/>
      <c r="P15" s="1553"/>
    </row>
    <row r="16" spans="1:16" x14ac:dyDescent="0.25">
      <c r="A16" s="1567" t="s">
        <v>81</v>
      </c>
      <c r="B16" s="1568"/>
      <c r="C16" s="197">
        <f>COUNTIFS('Plot By Plot SoA'!S6:S353,"Y",'Plot By Plot SoA'!K6:K353,"Y")</f>
        <v>117</v>
      </c>
      <c r="D16" s="198">
        <f>COUNTIFS('Plot By Plot SoA'!S6:S353,"Y",'Plot By Plot SoA'!L6:L353,"Y")</f>
        <v>27</v>
      </c>
      <c r="E16" s="198">
        <f>COUNTIFS('Plot By Plot SoA'!S6:S353,"Y",'Plot By Plot SoA'!M6:M353,"Y")</f>
        <v>7</v>
      </c>
      <c r="F16" s="198">
        <f>COUNTIFS('Plot By Plot SoA'!S6:S353,"Y",'Plot By Plot SoA'!N6:N353,"Y")</f>
        <v>0</v>
      </c>
      <c r="G16" s="213">
        <f>SUM(C16:F16)</f>
        <v>151</v>
      </c>
      <c r="H16" s="1556">
        <f>SUM(G17/G16)</f>
        <v>589.62648245033074</v>
      </c>
      <c r="J16" s="164"/>
      <c r="K16" s="159" t="s">
        <v>60</v>
      </c>
      <c r="L16" s="464" t="s">
        <v>192</v>
      </c>
      <c r="M16" s="159" t="s">
        <v>78</v>
      </c>
      <c r="N16" s="159" t="s">
        <v>55</v>
      </c>
      <c r="O16" s="160" t="s">
        <v>56</v>
      </c>
      <c r="P16" s="163" t="s">
        <v>52</v>
      </c>
    </row>
    <row r="17" spans="1:16" ht="16.5" x14ac:dyDescent="0.35">
      <c r="A17" s="185"/>
      <c r="B17" s="193" t="s">
        <v>42</v>
      </c>
      <c r="C17" s="189">
        <f>SUM(C18*10.7639)</f>
        <v>60679.33346999994</v>
      </c>
      <c r="D17" s="181">
        <f>SUM(D18*10.7639)</f>
        <v>21823.807249999994</v>
      </c>
      <c r="E17" s="181">
        <f>SUM(E18*10.7639)</f>
        <v>6530.45813</v>
      </c>
      <c r="F17" s="181">
        <f>SUM(F18*10.7639)</f>
        <v>0</v>
      </c>
      <c r="G17" s="1134">
        <f>SUM(C17:F17)</f>
        <v>89033.598849999937</v>
      </c>
      <c r="H17" s="1557"/>
      <c r="J17" s="155" t="s">
        <v>28</v>
      </c>
      <c r="K17" s="204" cm="1">
        <f t="array" ref="K17">SUM(IF(('Plot By Plot SoA'!E6:E353="Y")*('Plot By Plot SoA'!K6:K353="Y")*('Plot By Plot SoA'!S6:S353="Y"),1,0))</f>
        <v>0</v>
      </c>
      <c r="L17" s="464" cm="1">
        <f t="array" ref="L17">SUM(IF(('Plot By Plot SoA'!F6:F353="Y")*('Plot By Plot SoA'!K6:K353="Y")*('Plot By Plot SoA'!S6:S353="Y"),1,0))</f>
        <v>0</v>
      </c>
      <c r="M17" s="204" cm="1">
        <f t="array" ref="M17">SUM(IF(('Plot By Plot SoA'!G6:G353="Y")*('Plot By Plot SoA'!K6:K353="Y")*('Plot By Plot SoA'!S6:S353="Y"),1,0))</f>
        <v>1</v>
      </c>
      <c r="N17" s="204" cm="1">
        <f t="array" ref="N17">SUM(IF(('Plot By Plot SoA'!H6:H353="Y")*('Plot By Plot SoA'!K6:K353="Y")*('Plot By Plot SoA'!S6:S353="Y"),1,0))</f>
        <v>5</v>
      </c>
      <c r="O17" s="205" cm="1">
        <f t="array" ref="O17">SUM(IF(('Plot By Plot SoA'!I6:I353="Y")*('Plot By Plot SoA'!K6:K353="Y")*('Plot By Plot SoA'!S6:S353="Y"),1,0))</f>
        <v>111</v>
      </c>
      <c r="P17" s="210">
        <f>SUM(K17:O17)</f>
        <v>117</v>
      </c>
    </row>
    <row r="18" spans="1:16" ht="16.5" x14ac:dyDescent="0.35">
      <c r="A18" s="185"/>
      <c r="B18" s="194" t="s">
        <v>41</v>
      </c>
      <c r="C18" s="190">
        <f>SUMIFS('Plot By Plot SoA'!C6:C353, 'Plot By Plot SoA'!K6:K353,"Y",'Plot By Plot SoA'!S6:S353,"Y")</f>
        <v>5637.2999999999947</v>
      </c>
      <c r="D18" s="182">
        <f>SUMIFS('Plot By Plot SoA'!C6:C353, 'Plot By Plot SoA'!L6:L353,"Y",'Plot By Plot SoA'!S6:S353,"Y")</f>
        <v>2027.4999999999995</v>
      </c>
      <c r="E18" s="182">
        <f>SUMIFS('Plot By Plot SoA'!C6:C353, 'Plot By Plot SoA'!M6:M353,"Y",'Plot By Plot SoA'!S6:S353,"Y")</f>
        <v>606.70000000000005</v>
      </c>
      <c r="F18" s="182">
        <f>SUMIFS('Plot By Plot SoA'!C6:C353, 'Plot By Plot SoA'!N6:N353,"Y",'Plot By Plot SoA'!S6:S353,"Y")</f>
        <v>0</v>
      </c>
      <c r="G18" s="214">
        <f>SUM(C18:F18)</f>
        <v>8271.4999999999945</v>
      </c>
      <c r="H18" s="1557"/>
      <c r="J18" s="155" t="s">
        <v>29</v>
      </c>
      <c r="K18" s="204" cm="1">
        <f t="array" ref="K18">SUM(IF(('Plot By Plot SoA'!E6:E353="Y")*('Plot By Plot SoA'!L6:L353="Y")*('Plot By Plot SoA'!S6:S353="Y"),1,0))</f>
        <v>0</v>
      </c>
      <c r="L18" s="204" cm="1">
        <f t="array" ref="L18">SUM(IF(('Plot By Plot SoA'!F6:F353="Y")*('Plot By Plot SoA'!L6:L353="Y")*('Plot By Plot SoA'!S6:S353="Y"),1,0))</f>
        <v>0</v>
      </c>
      <c r="M18" s="204" cm="1">
        <f t="array" ref="M18">SUM(IF(('Plot By Plot SoA'!G6:G353="Y")*('Plot By Plot SoA'!L6:L353="Y")*('Plot By Plot SoA'!S6:S353="Y"),1,0))</f>
        <v>2</v>
      </c>
      <c r="N18" s="204" cm="1">
        <f t="array" ref="N18">SUM(IF(('Plot By Plot SoA'!H6:H353="Y")*('Plot By Plot SoA'!L6:L353="Y")*('Plot By Plot SoA'!S6:S353="Y"),1,0))</f>
        <v>20</v>
      </c>
      <c r="O18" s="206" cm="1">
        <f t="array" ref="O18">SUM(IF(('Plot By Plot SoA'!I6:I353="Y")*('Plot By Plot SoA'!L6:L353="Y")*('Plot By Plot SoA'!S6:S353="Y"),1,0))</f>
        <v>5</v>
      </c>
      <c r="P18" s="210">
        <f>SUM(K18:O18)</f>
        <v>27</v>
      </c>
    </row>
    <row r="19" spans="1:16" ht="16.5" x14ac:dyDescent="0.35">
      <c r="A19" s="185"/>
      <c r="B19" s="195" t="s">
        <v>79</v>
      </c>
      <c r="C19" s="191">
        <f>SUM(C17/C16)</f>
        <v>518.62678179487125</v>
      </c>
      <c r="D19" s="184">
        <f>SUM(D17/D16)</f>
        <v>808.28915740740717</v>
      </c>
      <c r="E19" s="184">
        <f>SUM(E17/E16)</f>
        <v>932.92259000000001</v>
      </c>
      <c r="F19" s="184" t="s">
        <v>77</v>
      </c>
      <c r="G19" s="215" t="s">
        <v>77</v>
      </c>
      <c r="H19" s="1557"/>
      <c r="J19" s="155" t="s">
        <v>30</v>
      </c>
      <c r="K19" s="204" cm="1">
        <f t="array" ref="K19">SUM(IF(('Plot By Plot SoA'!E6:E353="Y")*('Plot By Plot SoA'!M6:M353="Y")*('Plot By Plot SoA'!S6:S353="Y"),1,0))</f>
        <v>0</v>
      </c>
      <c r="L19" s="204" cm="1">
        <f t="array" ref="L19">SUM(IF(('Plot By Plot SoA'!F6:F353="Y")*('Plot By Plot SoA'!M6:M353="Y")*('Plot By Plot SoA'!S6:S353="Y"),1,0))</f>
        <v>0</v>
      </c>
      <c r="M19" s="204" cm="1">
        <f t="array" ref="M19">SUM(IF(('Plot By Plot SoA'!G6:G353="Y")*('Plot By Plot SoA'!M6:M353="Y")*('Plot By Plot SoA'!S6:S353="Y"),1,0))</f>
        <v>3</v>
      </c>
      <c r="N19" s="204" cm="1">
        <f t="array" ref="N19">SUM(IF(('Plot By Plot SoA'!H6:H353="Y")*('Plot By Plot SoA'!M6:M353="Y")*('Plot By Plot SoA'!S6:S353="Y"),1,0))</f>
        <v>2</v>
      </c>
      <c r="O19" s="206" cm="1">
        <f t="array" ref="O19">SUM(IF(('Plot By Plot SoA'!I6:I353="Y")*('Plot By Plot SoA'!M6:M353="Y")*('Plot By Plot SoA'!S6:S353="Y"),1,0))</f>
        <v>2</v>
      </c>
      <c r="P19" s="210">
        <f>SUM(K19:O19)</f>
        <v>7</v>
      </c>
    </row>
    <row r="20" spans="1:16" ht="17.25" thickBot="1" x14ac:dyDescent="0.4">
      <c r="A20" s="186"/>
      <c r="B20" s="196" t="s">
        <v>74</v>
      </c>
      <c r="C20" s="192">
        <f>SUM(C18/C16)</f>
        <v>48.182051282051233</v>
      </c>
      <c r="D20" s="187">
        <f>SUM(D18/D16)</f>
        <v>75.092592592592581</v>
      </c>
      <c r="E20" s="187">
        <f>SUM(E18/E16)</f>
        <v>86.671428571428578</v>
      </c>
      <c r="F20" s="187" t="s">
        <v>77</v>
      </c>
      <c r="G20" s="216" t="s">
        <v>77</v>
      </c>
      <c r="H20" s="1558"/>
      <c r="J20" s="165" t="s">
        <v>62</v>
      </c>
      <c r="K20" s="207" cm="1">
        <f t="array" ref="K20">SUM(IF(('Plot By Plot SoA'!E6:E353="Y")*('Plot By Plot SoA'!N6:N353="Y")*('Plot By Plot SoA'!S6:S353="Y"),1,0))</f>
        <v>0</v>
      </c>
      <c r="L20" s="204" cm="1">
        <f t="array" ref="L20">SUM(IF(('Plot By Plot SoA'!F6:F353="Y")*('Plot By Plot SoA'!N6:N353="Y")*('Plot By Plot SoA'!S6:S353="Y"),1,0))</f>
        <v>0</v>
      </c>
      <c r="M20" s="208" cm="1">
        <f t="array" ref="M20">SUM(IF(('Plot By Plot SoA'!G6:G353="Y")*('Plot By Plot SoA'!N6:N353="Y")*('Plot By Plot SoA'!S6:S353="Y"),1,0))</f>
        <v>0</v>
      </c>
      <c r="N20" s="208" cm="1">
        <f t="array" ref="N20">SUM(IF(('Plot By Plot SoA'!H6:H353="Y")*('Plot By Plot SoA'!N6:N353="Y")*('Plot By Plot SoA'!S6:S353="Y"),1,0))</f>
        <v>0</v>
      </c>
      <c r="O20" s="209" cm="1">
        <f t="array" ref="O20">SUM(IF(('Plot By Plot SoA'!I6:I353="Y")*('Plot By Plot SoA'!N6:N353="Y")*('Plot By Plot SoA'!S6:S353="Y"),1,0))</f>
        <v>0</v>
      </c>
      <c r="P20" s="210">
        <f>SUM(K20:O20)</f>
        <v>0</v>
      </c>
    </row>
    <row r="21" spans="1:16" ht="15.75" thickBot="1" x14ac:dyDescent="0.3">
      <c r="A21" s="1559"/>
      <c r="B21" s="1559"/>
      <c r="C21" s="1559"/>
      <c r="D21" s="1559"/>
      <c r="E21" s="1559"/>
      <c r="F21" s="1559"/>
      <c r="G21" s="1559"/>
      <c r="H21" s="1559"/>
      <c r="J21" s="156" t="s">
        <v>52</v>
      </c>
      <c r="K21" s="212">
        <f>SUM(K17:K20)</f>
        <v>0</v>
      </c>
      <c r="L21" s="465">
        <f>SUM(L17:L20)</f>
        <v>0</v>
      </c>
      <c r="M21" s="212">
        <f>SUM(M17:M20)</f>
        <v>6</v>
      </c>
      <c r="N21" s="212">
        <f>SUM(N17:N20)</f>
        <v>27</v>
      </c>
      <c r="O21" s="212">
        <f>SUM(O17:O20)</f>
        <v>118</v>
      </c>
      <c r="P21" s="211">
        <f>SUM(K21:O21)</f>
        <v>151</v>
      </c>
    </row>
    <row r="22" spans="1:16" x14ac:dyDescent="0.25">
      <c r="A22" s="1192"/>
      <c r="B22" s="1192"/>
      <c r="C22" s="1192"/>
      <c r="D22" s="1192"/>
      <c r="E22" s="1192"/>
      <c r="F22" s="1192"/>
      <c r="G22" s="1192"/>
      <c r="H22" s="1192"/>
    </row>
    <row r="23" spans="1:16" x14ac:dyDescent="0.25">
      <c r="A23" s="1192"/>
      <c r="B23" s="1192"/>
      <c r="C23" s="1192"/>
      <c r="D23" s="1192"/>
      <c r="E23" s="1192"/>
      <c r="F23" s="1192"/>
      <c r="G23" s="1192"/>
      <c r="H23" s="1192"/>
    </row>
    <row r="24" spans="1:16" x14ac:dyDescent="0.25">
      <c r="A24" s="1192"/>
      <c r="B24" s="1192"/>
      <c r="C24" s="1192"/>
      <c r="D24" s="1192"/>
      <c r="E24" s="1192"/>
      <c r="F24" s="1192"/>
      <c r="G24" s="1192"/>
      <c r="H24" s="1192"/>
    </row>
    <row r="26" spans="1:16" ht="15.75" thickBot="1" x14ac:dyDescent="0.3"/>
    <row r="27" spans="1:16" ht="23.25" customHeight="1" thickBot="1" x14ac:dyDescent="0.3">
      <c r="A27" s="1560" t="s">
        <v>85</v>
      </c>
      <c r="B27" s="1561"/>
      <c r="C27" s="1561"/>
      <c r="D27" s="1561"/>
      <c r="E27" s="1561"/>
      <c r="F27" s="1561"/>
      <c r="G27" s="1561"/>
      <c r="H27" s="1562"/>
    </row>
    <row r="28" spans="1:16" ht="31.5" thickTop="1" thickBot="1" x14ac:dyDescent="0.3">
      <c r="A28" s="1563" t="s">
        <v>72</v>
      </c>
      <c r="B28" s="1564"/>
      <c r="C28" s="200" t="s">
        <v>28</v>
      </c>
      <c r="D28" s="201" t="s">
        <v>29</v>
      </c>
      <c r="E28" s="201" t="s">
        <v>30</v>
      </c>
      <c r="F28" s="201" t="s">
        <v>62</v>
      </c>
      <c r="G28" s="202" t="s">
        <v>75</v>
      </c>
      <c r="H28" s="203" t="s">
        <v>76</v>
      </c>
      <c r="J28" s="1421" t="s">
        <v>50</v>
      </c>
      <c r="K28" s="1422"/>
      <c r="L28" s="1422"/>
      <c r="M28" s="1422"/>
      <c r="N28" s="1422"/>
      <c r="O28" s="1422"/>
      <c r="P28" s="1423"/>
    </row>
    <row r="29" spans="1:16" x14ac:dyDescent="0.25">
      <c r="A29" s="1554" t="s">
        <v>83</v>
      </c>
      <c r="B29" s="1555"/>
      <c r="C29" s="197">
        <f>SUM(C16+C3)</f>
        <v>139</v>
      </c>
      <c r="D29" s="198">
        <f>SUM(D16+D3)</f>
        <v>96</v>
      </c>
      <c r="E29" s="198">
        <f>SUM(E16+E3)</f>
        <v>69</v>
      </c>
      <c r="F29" s="198">
        <f>SUM(F16+F3)</f>
        <v>13</v>
      </c>
      <c r="G29" s="213">
        <f>SUM(C29:F29)</f>
        <v>317</v>
      </c>
      <c r="H29" s="1556">
        <f>SUM(G30/G29)</f>
        <v>770.59337343848563</v>
      </c>
      <c r="J29" s="165"/>
      <c r="K29" s="161" t="s">
        <v>60</v>
      </c>
      <c r="L29" s="385" t="s">
        <v>192</v>
      </c>
      <c r="M29" s="460" t="s">
        <v>78</v>
      </c>
      <c r="N29" s="161" t="s">
        <v>55</v>
      </c>
      <c r="O29" s="162" t="s">
        <v>56</v>
      </c>
      <c r="P29" s="383" t="s">
        <v>52</v>
      </c>
    </row>
    <row r="30" spans="1:16" ht="16.5" x14ac:dyDescent="0.35">
      <c r="A30" s="185"/>
      <c r="B30" s="193" t="s">
        <v>42</v>
      </c>
      <c r="C30" s="622">
        <f>SUM(C31*10.7639)</f>
        <v>72009.414609999949</v>
      </c>
      <c r="D30" s="623">
        <f>SUM(D31*10.7639)</f>
        <v>82024.147170000011</v>
      </c>
      <c r="E30" s="623">
        <f>SUM(E31*10.7639)</f>
        <v>71470.143219999969</v>
      </c>
      <c r="F30" s="623">
        <f>SUM(F31*10.7639)</f>
        <v>18774.394380000002</v>
      </c>
      <c r="G30" s="1134">
        <f>SUM(C30:F30)</f>
        <v>244278.09937999994</v>
      </c>
      <c r="H30" s="1557"/>
      <c r="J30" s="155" t="s">
        <v>28</v>
      </c>
      <c r="K30" s="103">
        <f>'Plot By Plot SoA'!W7</f>
        <v>0</v>
      </c>
      <c r="L30" s="103">
        <f>'Plot By Plot SoA'!X7</f>
        <v>0</v>
      </c>
      <c r="M30" s="103">
        <f>'Plot By Plot SoA'!Y7</f>
        <v>23</v>
      </c>
      <c r="N30" s="103">
        <f>'Plot By Plot SoA'!Z7</f>
        <v>5</v>
      </c>
      <c r="O30" s="103">
        <f>'Plot By Plot SoA'!AA7</f>
        <v>111</v>
      </c>
      <c r="P30" s="461">
        <f>SUM(K30:O30)</f>
        <v>139</v>
      </c>
    </row>
    <row r="31" spans="1:16" ht="16.5" x14ac:dyDescent="0.35">
      <c r="A31" s="185"/>
      <c r="B31" s="194" t="s">
        <v>41</v>
      </c>
      <c r="C31" s="624">
        <f>SUM(C18+C5)</f>
        <v>6689.8999999999951</v>
      </c>
      <c r="D31" s="625">
        <f>SUM(D18+D5)</f>
        <v>7620.3000000000011</v>
      </c>
      <c r="E31" s="625">
        <f>SUM(E18+E5)</f>
        <v>6639.7999999999975</v>
      </c>
      <c r="F31" s="625">
        <f>SUM(F18+F5)</f>
        <v>1744.2000000000003</v>
      </c>
      <c r="G31" s="214">
        <f>SUM(C31:F31)</f>
        <v>22694.199999999993</v>
      </c>
      <c r="H31" s="1557"/>
      <c r="J31" s="155" t="s">
        <v>29</v>
      </c>
      <c r="K31" s="103">
        <f>'Plot By Plot SoA'!W8</f>
        <v>44</v>
      </c>
      <c r="L31" s="103">
        <f>'Plot By Plot SoA'!X8</f>
        <v>3</v>
      </c>
      <c r="M31" s="103">
        <f>'Plot By Plot SoA'!Y8</f>
        <v>23</v>
      </c>
      <c r="N31" s="103">
        <f>'Plot By Plot SoA'!Z8</f>
        <v>20</v>
      </c>
      <c r="O31" s="103">
        <f>'Plot By Plot SoA'!AA8</f>
        <v>6</v>
      </c>
      <c r="P31" s="462">
        <f>SUM(K31:O31)</f>
        <v>96</v>
      </c>
    </row>
    <row r="32" spans="1:16" ht="16.5" x14ac:dyDescent="0.35">
      <c r="A32" s="185"/>
      <c r="B32" s="195" t="s">
        <v>79</v>
      </c>
      <c r="C32" s="626">
        <f>SUM(C30/C29)</f>
        <v>518.05334251798524</v>
      </c>
      <c r="D32" s="627">
        <f>SUM(D30/D29)</f>
        <v>854.41819968750008</v>
      </c>
      <c r="E32" s="627">
        <f>SUM(E30/E29)</f>
        <v>1035.7991771014488</v>
      </c>
      <c r="F32" s="627">
        <f>SUM(F30/F29)</f>
        <v>1444.1841830769231</v>
      </c>
      <c r="G32" s="215" t="s">
        <v>77</v>
      </c>
      <c r="H32" s="1557"/>
      <c r="J32" s="155" t="s">
        <v>30</v>
      </c>
      <c r="K32" s="103">
        <f>'Plot By Plot SoA'!W9</f>
        <v>47</v>
      </c>
      <c r="L32" s="103">
        <f>'Plot By Plot SoA'!X9</f>
        <v>0</v>
      </c>
      <c r="M32" s="103">
        <f>'Plot By Plot SoA'!Y9</f>
        <v>18</v>
      </c>
      <c r="N32" s="103">
        <f>'Plot By Plot SoA'!Z9</f>
        <v>2</v>
      </c>
      <c r="O32" s="70">
        <f>'Plot By Plot SoA'!AA9</f>
        <v>2</v>
      </c>
      <c r="P32" s="71">
        <f>SUM(K32:O32)</f>
        <v>69</v>
      </c>
    </row>
    <row r="33" spans="1:16" ht="17.25" thickBot="1" x14ac:dyDescent="0.4">
      <c r="A33" s="186"/>
      <c r="B33" s="196" t="s">
        <v>74</v>
      </c>
      <c r="C33" s="628">
        <f>SUM(C31/C29)</f>
        <v>48.128776978417228</v>
      </c>
      <c r="D33" s="629">
        <f>SUM(D31/D29)</f>
        <v>79.378125000000011</v>
      </c>
      <c r="E33" s="629">
        <f>SUM(E31/E29)</f>
        <v>96.228985507246335</v>
      </c>
      <c r="F33" s="629">
        <f>SUM(F31/F29)</f>
        <v>134.16923076923078</v>
      </c>
      <c r="G33" s="216" t="s">
        <v>77</v>
      </c>
      <c r="H33" s="1558"/>
      <c r="J33" s="165" t="s">
        <v>62</v>
      </c>
      <c r="K33" s="168">
        <f>'Plot By Plot SoA'!W10</f>
        <v>13</v>
      </c>
      <c r="L33" s="161">
        <f>'Plot By Plot SoA'!X10</f>
        <v>0</v>
      </c>
      <c r="M33" s="161">
        <f>'Plot By Plot SoA'!Y10</f>
        <v>0</v>
      </c>
      <c r="N33" s="161">
        <f>'Plot By Plot SoA'!Z10</f>
        <v>0</v>
      </c>
      <c r="O33" s="161">
        <f>'Plot By Plot SoA'!AA10</f>
        <v>0</v>
      </c>
      <c r="P33" s="172">
        <f>SUM(K33:O33)</f>
        <v>13</v>
      </c>
    </row>
    <row r="34" spans="1:16" ht="15.75" thickBot="1" x14ac:dyDescent="0.3">
      <c r="A34" s="1559"/>
      <c r="B34" s="1559"/>
      <c r="C34" s="1559"/>
      <c r="D34" s="1559"/>
      <c r="E34" s="1559"/>
      <c r="F34" s="1559"/>
      <c r="G34" s="1559"/>
      <c r="H34" s="1559"/>
      <c r="J34" s="156" t="s">
        <v>52</v>
      </c>
      <c r="K34" s="154">
        <f>SUM(K30:K33)</f>
        <v>104</v>
      </c>
      <c r="L34" s="154">
        <f>SUM(L30:L33)</f>
        <v>3</v>
      </c>
      <c r="M34" s="154">
        <f>SUM(M30:M33)</f>
        <v>64</v>
      </c>
      <c r="N34" s="154">
        <f>SUM(N30:N33)</f>
        <v>27</v>
      </c>
      <c r="O34" s="154">
        <f>SUM(O30:O33)</f>
        <v>119</v>
      </c>
      <c r="P34" s="153">
        <f>SUM(K34:O34)</f>
        <v>317</v>
      </c>
    </row>
    <row r="35" spans="1:16" x14ac:dyDescent="0.25">
      <c r="A35" s="1192"/>
      <c r="B35" s="1192"/>
      <c r="C35" s="1192"/>
      <c r="D35" s="1192"/>
      <c r="E35" s="1192"/>
      <c r="F35" s="1192"/>
      <c r="G35" s="1192"/>
      <c r="H35" s="1192"/>
    </row>
    <row r="36" spans="1:16" x14ac:dyDescent="0.25">
      <c r="A36" s="1192"/>
      <c r="B36" s="1192"/>
      <c r="C36" s="1192"/>
      <c r="D36" s="1192"/>
      <c r="E36" s="1192"/>
      <c r="F36" s="1192"/>
      <c r="G36" s="1192"/>
      <c r="H36" s="1192"/>
    </row>
    <row r="37" spans="1:16" x14ac:dyDescent="0.25">
      <c r="A37" s="1192"/>
      <c r="B37" s="1192"/>
      <c r="C37" s="1192"/>
      <c r="D37" s="1192"/>
      <c r="E37" s="1192"/>
      <c r="F37" s="1192"/>
      <c r="G37" s="1192"/>
      <c r="H37" s="1192"/>
    </row>
    <row r="42" spans="1:16" x14ac:dyDescent="0.25">
      <c r="J42" s="244"/>
      <c r="K42" s="244"/>
      <c r="L42" s="244"/>
      <c r="M42" s="244"/>
      <c r="N42" s="244"/>
      <c r="O42" s="244"/>
    </row>
    <row r="43" spans="1:16" x14ac:dyDescent="0.25">
      <c r="J43" s="103"/>
      <c r="K43" s="103"/>
      <c r="L43" s="103"/>
      <c r="M43" s="103"/>
      <c r="N43" s="103"/>
      <c r="O43" s="103"/>
    </row>
    <row r="44" spans="1:16" x14ac:dyDescent="0.25">
      <c r="J44" s="103"/>
      <c r="K44" s="103"/>
      <c r="L44" s="103"/>
      <c r="M44" s="103"/>
      <c r="N44" s="103"/>
      <c r="O44" s="103"/>
    </row>
    <row r="45" spans="1:16" x14ac:dyDescent="0.25">
      <c r="J45" s="103"/>
      <c r="K45" s="103"/>
      <c r="L45" s="103"/>
      <c r="M45" s="103"/>
      <c r="N45" s="103"/>
      <c r="O45" s="103"/>
    </row>
    <row r="46" spans="1:16" x14ac:dyDescent="0.25">
      <c r="J46" s="103"/>
      <c r="K46" s="103"/>
      <c r="L46" s="103"/>
      <c r="M46" s="103"/>
      <c r="N46" s="103"/>
      <c r="O46" s="103"/>
    </row>
    <row r="47" spans="1:16" x14ac:dyDescent="0.25">
      <c r="J47" s="103"/>
      <c r="K47" s="103"/>
      <c r="L47" s="103"/>
      <c r="M47" s="103"/>
      <c r="N47" s="103"/>
      <c r="O47" s="103"/>
    </row>
    <row r="48" spans="1:16" x14ac:dyDescent="0.25">
      <c r="J48" s="103"/>
      <c r="K48" s="103"/>
      <c r="L48" s="103"/>
      <c r="M48" s="103"/>
      <c r="N48" s="103"/>
      <c r="O48" s="103"/>
    </row>
  </sheetData>
  <mergeCells count="18">
    <mergeCell ref="A34:H37"/>
    <mergeCell ref="A27:H27"/>
    <mergeCell ref="A28:B28"/>
    <mergeCell ref="A1:H1"/>
    <mergeCell ref="A8:H11"/>
    <mergeCell ref="A15:B15"/>
    <mergeCell ref="A16:B16"/>
    <mergeCell ref="H16:H20"/>
    <mergeCell ref="A2:B2"/>
    <mergeCell ref="A3:B3"/>
    <mergeCell ref="H3:H7"/>
    <mergeCell ref="A21:H24"/>
    <mergeCell ref="A14:H14"/>
    <mergeCell ref="J28:P28"/>
    <mergeCell ref="J2:P2"/>
    <mergeCell ref="J15:P15"/>
    <mergeCell ref="A29:B29"/>
    <mergeCell ref="H29:H33"/>
  </mergeCells>
  <pageMargins left="0.7" right="0.7" top="0.75" bottom="0.75" header="0.3" footer="0.3"/>
  <pageSetup paperSize="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FD2A8-65F2-4BF8-9EA5-1665CDDDFB14}">
  <sheetPr>
    <pageSetUpPr fitToPage="1"/>
  </sheetPr>
  <dimension ref="A1:Y353"/>
  <sheetViews>
    <sheetView zoomScale="70" zoomScaleNormal="70" workbookViewId="0">
      <selection activeCell="W97" sqref="W97"/>
    </sheetView>
  </sheetViews>
  <sheetFormatPr defaultColWidth="8.85546875" defaultRowHeight="15" x14ac:dyDescent="0.35"/>
  <cols>
    <col min="1" max="1" width="11.7109375" style="284" customWidth="1"/>
    <col min="2" max="2" width="12.140625" style="284" bestFit="1" customWidth="1"/>
    <col min="3" max="3" width="18.42578125" style="284" bestFit="1" customWidth="1"/>
    <col min="4" max="4" width="14.7109375" style="284" customWidth="1"/>
    <col min="5" max="5" width="15.42578125" style="284" customWidth="1"/>
    <col min="6" max="6" width="15.7109375" style="284" customWidth="1"/>
    <col min="7" max="7" width="16.7109375" style="284" bestFit="1" customWidth="1"/>
    <col min="8" max="9" width="8.85546875" style="284"/>
    <col min="10" max="10" width="22.5703125" style="284" customWidth="1"/>
    <col min="11" max="11" width="17.140625" style="284" bestFit="1" customWidth="1"/>
    <col min="12" max="12" width="20.7109375" style="284" bestFit="1" customWidth="1"/>
    <col min="13" max="13" width="12.28515625" style="284" bestFit="1" customWidth="1"/>
    <col min="14" max="18" width="8.85546875" style="284"/>
    <col min="19" max="19" width="8.85546875" style="284" customWidth="1"/>
    <col min="20" max="20" width="12.7109375" style="284" bestFit="1" customWidth="1"/>
    <col min="21" max="21" width="14.140625" style="284" bestFit="1" customWidth="1"/>
    <col min="22" max="16384" width="8.85546875" style="284"/>
  </cols>
  <sheetData>
    <row r="1" spans="1:21" ht="23.45" customHeight="1" x14ac:dyDescent="0.35">
      <c r="A1" s="1159" t="s">
        <v>353</v>
      </c>
      <c r="B1" s="1160"/>
      <c r="C1" s="1160"/>
      <c r="D1" s="1160"/>
      <c r="E1" s="1160"/>
      <c r="F1" s="1160"/>
      <c r="G1" s="1160"/>
      <c r="H1" s="1160"/>
      <c r="I1" s="1160"/>
      <c r="J1" s="1160"/>
      <c r="K1" s="1160"/>
      <c r="L1" s="1161"/>
    </row>
    <row r="2" spans="1:21" ht="23.45" customHeight="1" x14ac:dyDescent="0.35">
      <c r="A2" s="1288" t="s">
        <v>395</v>
      </c>
      <c r="B2" s="1289"/>
      <c r="C2" s="1289"/>
      <c r="D2" s="1289"/>
      <c r="E2" s="1289"/>
      <c r="F2" s="1289"/>
      <c r="G2" s="1289"/>
      <c r="H2" s="1289"/>
      <c r="I2" s="1289"/>
      <c r="J2" s="1289"/>
      <c r="K2" s="1289"/>
      <c r="L2" s="1290"/>
      <c r="P2" s="1155" t="s">
        <v>396</v>
      </c>
      <c r="Q2" s="1155"/>
      <c r="R2" s="1155"/>
      <c r="S2" s="1155"/>
      <c r="T2" s="1155"/>
      <c r="U2" s="1155"/>
    </row>
    <row r="3" spans="1:21" ht="23.45" customHeight="1" x14ac:dyDescent="0.35">
      <c r="A3" s="1288" t="s">
        <v>394</v>
      </c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90"/>
      <c r="M3" s="636"/>
      <c r="P3" s="1155"/>
      <c r="Q3" s="1155"/>
      <c r="R3" s="1155"/>
      <c r="S3" s="1155"/>
      <c r="T3" s="1155"/>
      <c r="U3" s="1155"/>
    </row>
    <row r="4" spans="1:21" ht="18.600000000000001" customHeight="1" thickBot="1" x14ac:dyDescent="0.4">
      <c r="A4" s="1698" t="s">
        <v>124</v>
      </c>
      <c r="B4" s="1692" t="s">
        <v>0</v>
      </c>
      <c r="C4" s="1645" t="s">
        <v>330</v>
      </c>
      <c r="D4" s="1646"/>
      <c r="E4" s="1692" t="s">
        <v>331</v>
      </c>
      <c r="F4" s="1692"/>
      <c r="G4" s="1692" t="s">
        <v>332</v>
      </c>
      <c r="H4" s="1692" t="s">
        <v>333</v>
      </c>
      <c r="I4" s="1680" t="s">
        <v>354</v>
      </c>
      <c r="J4" s="1692" t="s">
        <v>334</v>
      </c>
      <c r="K4" s="1256" t="s">
        <v>355</v>
      </c>
      <c r="L4" s="1684" t="s">
        <v>335</v>
      </c>
      <c r="P4" s="1520"/>
      <c r="Q4" s="1520"/>
      <c r="R4" s="1520"/>
      <c r="S4" s="1520"/>
      <c r="T4" s="1520"/>
      <c r="U4" s="1520"/>
    </row>
    <row r="5" spans="1:21" ht="30.75" thickBot="1" x14ac:dyDescent="0.4">
      <c r="A5" s="1699"/>
      <c r="B5" s="1693"/>
      <c r="C5" s="666" t="s">
        <v>341</v>
      </c>
      <c r="D5" s="667" t="s">
        <v>363</v>
      </c>
      <c r="E5" s="666" t="s">
        <v>336</v>
      </c>
      <c r="F5" s="666" t="s">
        <v>337</v>
      </c>
      <c r="G5" s="1693"/>
      <c r="H5" s="1693"/>
      <c r="I5" s="1680"/>
      <c r="J5" s="1693"/>
      <c r="K5" s="1257"/>
      <c r="L5" s="1685"/>
      <c r="P5" s="1139" t="s">
        <v>413</v>
      </c>
      <c r="Q5" s="1140"/>
      <c r="R5" s="1140"/>
      <c r="S5" s="1140"/>
      <c r="T5" s="1140"/>
      <c r="U5" s="1141"/>
    </row>
    <row r="6" spans="1:21" ht="30.75" thickTop="1" x14ac:dyDescent="0.35">
      <c r="A6" s="1694" t="s">
        <v>338</v>
      </c>
      <c r="B6" s="732">
        <v>1</v>
      </c>
      <c r="C6" s="732" t="s">
        <v>51</v>
      </c>
      <c r="D6" s="733" t="s">
        <v>360</v>
      </c>
      <c r="E6" s="732">
        <v>65</v>
      </c>
      <c r="F6" s="734">
        <f>SUM(E6*10.76)</f>
        <v>699.4</v>
      </c>
      <c r="G6" s="732" t="s">
        <v>343</v>
      </c>
      <c r="H6" s="735">
        <v>2</v>
      </c>
      <c r="I6" s="736" t="str">
        <f>IF('Plot By Plot SoA'!P6=0,"-",'Plot By Plot SoA'!P6)</f>
        <v>-</v>
      </c>
      <c r="J6" s="732" t="s">
        <v>358</v>
      </c>
      <c r="K6" s="737" t="str">
        <f>'Plot By Plot SoA'!J6</f>
        <v>Roof Terrace</v>
      </c>
      <c r="L6" s="738">
        <v>73</v>
      </c>
      <c r="P6" s="1142"/>
      <c r="Q6" s="1143"/>
      <c r="R6" s="1143"/>
      <c r="S6" s="1144"/>
      <c r="T6" s="644" t="s">
        <v>243</v>
      </c>
      <c r="U6" s="645" t="s">
        <v>242</v>
      </c>
    </row>
    <row r="7" spans="1:21" ht="30" x14ac:dyDescent="0.35">
      <c r="A7" s="1681"/>
      <c r="B7" s="739">
        <v>2</v>
      </c>
      <c r="C7" s="739" t="s">
        <v>51</v>
      </c>
      <c r="D7" s="740" t="s">
        <v>360</v>
      </c>
      <c r="E7" s="739">
        <v>103</v>
      </c>
      <c r="F7" s="741">
        <f t="shared" ref="F7:F21" si="0">SUM(E7*10.76)</f>
        <v>1108.28</v>
      </c>
      <c r="G7" s="739" t="s">
        <v>344</v>
      </c>
      <c r="H7" s="742">
        <v>2</v>
      </c>
      <c r="I7" s="743" t="str">
        <f>IF('Plot By Plot SoA'!P7=0,"-",'Plot By Plot SoA'!P7)</f>
        <v>-</v>
      </c>
      <c r="J7" s="732" t="s">
        <v>358</v>
      </c>
      <c r="K7" s="743" t="str">
        <f>'Plot By Plot SoA'!J7</f>
        <v>Roof Terrace</v>
      </c>
      <c r="L7" s="744">
        <v>105</v>
      </c>
      <c r="P7" s="1145" t="s">
        <v>610</v>
      </c>
      <c r="Q7" s="1146"/>
      <c r="R7" s="1146"/>
      <c r="S7" s="1147"/>
      <c r="T7" s="776">
        <f>SUM(E6:E322)</f>
        <v>22694.200000000077</v>
      </c>
      <c r="U7" s="890">
        <f>D324</f>
        <v>244275.75235999946</v>
      </c>
    </row>
    <row r="8" spans="1:21" ht="15.75" thickBot="1" x14ac:dyDescent="0.4">
      <c r="A8" s="1681"/>
      <c r="B8" s="739">
        <v>3</v>
      </c>
      <c r="C8" s="739" t="s">
        <v>15</v>
      </c>
      <c r="D8" s="743" t="s">
        <v>362</v>
      </c>
      <c r="E8" s="739">
        <v>83.5</v>
      </c>
      <c r="F8" s="741">
        <f t="shared" si="0"/>
        <v>898.46</v>
      </c>
      <c r="G8" s="739" t="s">
        <v>345</v>
      </c>
      <c r="H8" s="742">
        <v>2</v>
      </c>
      <c r="I8" s="743" t="str">
        <f>IF('Plot By Plot SoA'!P8=0,"-",'Plot By Plot SoA'!P8)</f>
        <v>-</v>
      </c>
      <c r="J8" s="739" t="s">
        <v>357</v>
      </c>
      <c r="K8" s="743" t="str">
        <f>'Plot By Plot SoA'!J8</f>
        <v>Frontage Amenity</v>
      </c>
      <c r="L8" s="745">
        <v>165</v>
      </c>
      <c r="P8" s="1151" t="s">
        <v>605</v>
      </c>
      <c r="Q8" s="1152"/>
      <c r="R8" s="1152"/>
      <c r="S8" s="1152"/>
      <c r="T8" s="646">
        <f>SUM(E329:E333)</f>
        <v>309.82</v>
      </c>
      <c r="U8" s="777">
        <f>F335</f>
        <v>3334.871498</v>
      </c>
    </row>
    <row r="9" spans="1:21" ht="15.75" thickBot="1" x14ac:dyDescent="0.4">
      <c r="A9" s="1681"/>
      <c r="B9" s="739">
        <v>4</v>
      </c>
      <c r="C9" s="739" t="s">
        <v>15</v>
      </c>
      <c r="D9" s="743" t="s">
        <v>362</v>
      </c>
      <c r="E9" s="739">
        <v>97.7</v>
      </c>
      <c r="F9" s="741">
        <f t="shared" si="0"/>
        <v>1051.252</v>
      </c>
      <c r="G9" s="739" t="s">
        <v>345</v>
      </c>
      <c r="H9" s="742">
        <v>2</v>
      </c>
      <c r="I9" s="743" t="str">
        <f>IF('Plot By Plot SoA'!P9=0,"-",'Plot By Plot SoA'!P9)</f>
        <v>-</v>
      </c>
      <c r="J9" s="739" t="s">
        <v>357</v>
      </c>
      <c r="K9" s="743" t="str">
        <f>'Plot By Plot SoA'!J9</f>
        <v>Frontage Amenity</v>
      </c>
      <c r="L9" s="745">
        <v>75</v>
      </c>
      <c r="P9" s="1592" t="s">
        <v>414</v>
      </c>
      <c r="Q9" s="1593"/>
      <c r="R9" s="1593"/>
      <c r="S9" s="1593"/>
      <c r="T9" s="647">
        <f>SUM(T7:T8)</f>
        <v>23004.020000000077</v>
      </c>
      <c r="U9" s="650">
        <f>SUM(U7:U8)</f>
        <v>247610.62385799945</v>
      </c>
    </row>
    <row r="10" spans="1:21" ht="15.75" thickBot="1" x14ac:dyDescent="0.4">
      <c r="A10" s="1682"/>
      <c r="B10" s="739">
        <v>5</v>
      </c>
      <c r="C10" s="739" t="s">
        <v>15</v>
      </c>
      <c r="D10" s="743" t="s">
        <v>361</v>
      </c>
      <c r="E10" s="739">
        <v>70.2</v>
      </c>
      <c r="F10" s="741">
        <f t="shared" si="0"/>
        <v>755.35199999999998</v>
      </c>
      <c r="G10" s="739" t="s">
        <v>343</v>
      </c>
      <c r="H10" s="742">
        <v>2</v>
      </c>
      <c r="I10" s="743" t="str">
        <f>IF('Plot By Plot SoA'!P10=0,"-",'Plot By Plot SoA'!P10)</f>
        <v>-</v>
      </c>
      <c r="J10" s="739" t="s">
        <v>358</v>
      </c>
      <c r="K10" s="743" t="str">
        <f>'Plot By Plot SoA'!J10</f>
        <v>Frontage Amenity</v>
      </c>
      <c r="L10" s="745">
        <v>208</v>
      </c>
      <c r="P10" s="758"/>
      <c r="Q10" s="758"/>
      <c r="R10" s="758"/>
      <c r="S10" s="758"/>
      <c r="T10" s="759"/>
      <c r="U10" s="760"/>
    </row>
    <row r="11" spans="1:21" x14ac:dyDescent="0.35">
      <c r="A11" s="1695" t="s">
        <v>44</v>
      </c>
      <c r="B11" s="680">
        <v>6</v>
      </c>
      <c r="C11" s="680" t="s">
        <v>15</v>
      </c>
      <c r="D11" s="681" t="s">
        <v>361</v>
      </c>
      <c r="E11" s="682">
        <v>100.6</v>
      </c>
      <c r="F11" s="683">
        <f t="shared" ref="F11:F12" si="1">SUM(E11*10.7639)</f>
        <v>1082.84834</v>
      </c>
      <c r="G11" s="680" t="s">
        <v>344</v>
      </c>
      <c r="H11" s="684">
        <v>2</v>
      </c>
      <c r="I11" s="681" t="str">
        <f>IF('Plot By Plot SoA'!P11=0,"-",'Plot By Plot SoA'!P11)</f>
        <v>-</v>
      </c>
      <c r="J11" s="680" t="s">
        <v>357</v>
      </c>
      <c r="K11" s="681" t="str">
        <f>'Plot By Plot SoA'!J11</f>
        <v>Private Front Garden</v>
      </c>
      <c r="L11" s="685">
        <v>73</v>
      </c>
      <c r="P11" s="1139" t="s">
        <v>399</v>
      </c>
      <c r="Q11" s="1140"/>
      <c r="R11" s="1140"/>
      <c r="S11" s="1140"/>
      <c r="T11" s="1140"/>
      <c r="U11" s="1141"/>
    </row>
    <row r="12" spans="1:21" ht="17.25" customHeight="1" x14ac:dyDescent="0.35">
      <c r="A12" s="1696"/>
      <c r="B12" s="680">
        <v>7</v>
      </c>
      <c r="C12" s="680" t="s">
        <v>15</v>
      </c>
      <c r="D12" s="681" t="s">
        <v>362</v>
      </c>
      <c r="E12" s="682">
        <v>79.8</v>
      </c>
      <c r="F12" s="683">
        <f t="shared" si="1"/>
        <v>858.95921999999996</v>
      </c>
      <c r="G12" s="680" t="s">
        <v>343</v>
      </c>
      <c r="H12" s="684">
        <v>2</v>
      </c>
      <c r="I12" s="681" t="str">
        <f>IF('Plot By Plot SoA'!P12=0,"-",'Plot By Plot SoA'!P12)</f>
        <v>-</v>
      </c>
      <c r="J12" s="680" t="s">
        <v>358</v>
      </c>
      <c r="K12" s="681" t="str">
        <f>'Plot By Plot SoA'!J12</f>
        <v>Private Front Garden</v>
      </c>
      <c r="L12" s="685">
        <v>181</v>
      </c>
      <c r="P12" s="1142"/>
      <c r="Q12" s="1143"/>
      <c r="R12" s="1143"/>
      <c r="S12" s="1144"/>
      <c r="T12" s="644" t="s">
        <v>243</v>
      </c>
      <c r="U12" s="645" t="s">
        <v>242</v>
      </c>
    </row>
    <row r="13" spans="1:21" x14ac:dyDescent="0.35">
      <c r="A13" s="1696"/>
      <c r="B13" s="680">
        <v>8</v>
      </c>
      <c r="C13" s="680" t="s">
        <v>15</v>
      </c>
      <c r="D13" s="681" t="s">
        <v>361</v>
      </c>
      <c r="E13" s="686">
        <v>140.19999999999999</v>
      </c>
      <c r="F13" s="687">
        <f>SUM(E13*10.7639)</f>
        <v>1509.0987799999998</v>
      </c>
      <c r="G13" s="680" t="s">
        <v>346</v>
      </c>
      <c r="H13" s="684">
        <v>3</v>
      </c>
      <c r="I13" s="681" t="str">
        <f>IF('Plot By Plot SoA'!P13=0,"-",'Plot By Plot SoA'!P13)</f>
        <v>-</v>
      </c>
      <c r="J13" s="680" t="s">
        <v>357</v>
      </c>
      <c r="K13" s="681" t="str">
        <f>'Plot By Plot SoA'!J13</f>
        <v>Private Front Garden</v>
      </c>
      <c r="L13" s="685">
        <v>297</v>
      </c>
      <c r="P13" s="1587" t="s">
        <v>421</v>
      </c>
      <c r="Q13" s="1588"/>
      <c r="R13" s="1588"/>
      <c r="S13" s="1588"/>
      <c r="T13" s="646">
        <f>K334</f>
        <v>2954.2500000000005</v>
      </c>
      <c r="U13" s="643">
        <f>L334</f>
        <v>31799.251575000002</v>
      </c>
    </row>
    <row r="14" spans="1:21" ht="15.75" thickBot="1" x14ac:dyDescent="0.4">
      <c r="A14" s="1696"/>
      <c r="B14" s="680">
        <v>9</v>
      </c>
      <c r="C14" s="680" t="s">
        <v>51</v>
      </c>
      <c r="D14" s="681" t="s">
        <v>379</v>
      </c>
      <c r="E14" s="682">
        <v>85</v>
      </c>
      <c r="F14" s="683">
        <f t="shared" ref="F14:F19" si="2">SUM(E14*10.7639)</f>
        <v>914.93149999999991</v>
      </c>
      <c r="G14" s="680" t="s">
        <v>345</v>
      </c>
      <c r="H14" s="684">
        <v>2</v>
      </c>
      <c r="I14" s="681" t="str">
        <f>IF('Plot By Plot SoA'!P15=0,"-",'Plot By Plot SoA'!P15)</f>
        <v>-</v>
      </c>
      <c r="J14" s="680" t="s">
        <v>358</v>
      </c>
      <c r="K14" s="681" t="str">
        <f>'Plot By Plot SoA'!J15</f>
        <v>Roof Terrace</v>
      </c>
      <c r="L14" s="685">
        <v>140</v>
      </c>
      <c r="P14" s="1589" t="s">
        <v>14</v>
      </c>
      <c r="Q14" s="1590"/>
      <c r="R14" s="1590"/>
      <c r="S14" s="1591"/>
      <c r="T14" s="778">
        <f>E337</f>
        <v>169.5</v>
      </c>
      <c r="U14" s="777">
        <f>F337</f>
        <v>1824.4810499999999</v>
      </c>
    </row>
    <row r="15" spans="1:21" ht="15.75" thickBot="1" x14ac:dyDescent="0.4">
      <c r="A15" s="1696"/>
      <c r="B15" s="680">
        <v>10</v>
      </c>
      <c r="C15" s="680" t="s">
        <v>51</v>
      </c>
      <c r="D15" s="681" t="s">
        <v>378</v>
      </c>
      <c r="E15" s="682">
        <v>54.5</v>
      </c>
      <c r="F15" s="683">
        <f t="shared" si="2"/>
        <v>586.63254999999992</v>
      </c>
      <c r="G15" s="680" t="s">
        <v>347</v>
      </c>
      <c r="H15" s="684">
        <v>2</v>
      </c>
      <c r="I15" s="681" t="str">
        <f>IF('Plot By Plot SoA'!P16=0,"-",'Plot By Plot SoA'!P16)</f>
        <v>-</v>
      </c>
      <c r="J15" s="680" t="s">
        <v>358</v>
      </c>
      <c r="K15" s="681" t="str">
        <f>'Plot By Plot SoA'!J16</f>
        <v>Roof Terrace</v>
      </c>
      <c r="L15" s="685">
        <v>102</v>
      </c>
      <c r="P15" s="1592" t="s">
        <v>606</v>
      </c>
      <c r="Q15" s="1593"/>
      <c r="R15" s="1593"/>
      <c r="S15" s="1593"/>
      <c r="T15" s="647">
        <f>SUM(T13:T14)</f>
        <v>3123.7500000000005</v>
      </c>
      <c r="U15" s="650">
        <f>SUM(U13:U14)</f>
        <v>33623.732625000004</v>
      </c>
    </row>
    <row r="16" spans="1:21" ht="15.75" thickBot="1" x14ac:dyDescent="0.4">
      <c r="A16" s="1696"/>
      <c r="B16" s="680">
        <v>11</v>
      </c>
      <c r="C16" s="680" t="s">
        <v>51</v>
      </c>
      <c r="D16" s="681" t="s">
        <v>379</v>
      </c>
      <c r="E16" s="682">
        <v>86.1</v>
      </c>
      <c r="F16" s="683">
        <f t="shared" si="2"/>
        <v>926.7717899999999</v>
      </c>
      <c r="G16" s="680" t="s">
        <v>343</v>
      </c>
      <c r="H16" s="684">
        <v>2</v>
      </c>
      <c r="I16" s="681" t="str">
        <f>IF('Plot By Plot SoA'!P17=0,"-",'Plot By Plot SoA'!P17)</f>
        <v>-</v>
      </c>
      <c r="J16" s="680" t="s">
        <v>358</v>
      </c>
      <c r="K16" s="681" t="str">
        <f>'Plot By Plot SoA'!J17</f>
        <v>Roof Terrace</v>
      </c>
      <c r="L16" s="685">
        <v>51</v>
      </c>
      <c r="P16" s="758"/>
      <c r="Q16" s="758"/>
      <c r="R16" s="758"/>
      <c r="S16" s="758"/>
      <c r="T16" s="759"/>
      <c r="U16" s="760"/>
    </row>
    <row r="17" spans="1:22" x14ac:dyDescent="0.35">
      <c r="A17" s="1696"/>
      <c r="B17" s="680">
        <v>12</v>
      </c>
      <c r="C17" s="680" t="s">
        <v>15</v>
      </c>
      <c r="D17" s="681" t="s">
        <v>361</v>
      </c>
      <c r="E17" s="682">
        <v>71.5</v>
      </c>
      <c r="F17" s="683">
        <f t="shared" si="2"/>
        <v>769.61884999999995</v>
      </c>
      <c r="G17" s="680" t="s">
        <v>343</v>
      </c>
      <c r="H17" s="684">
        <v>2</v>
      </c>
      <c r="I17" s="681" t="str">
        <f>IF('Plot By Plot SoA'!P18=0,"-",'Plot By Plot SoA'!P18)</f>
        <v>-</v>
      </c>
      <c r="J17" s="680" t="s">
        <v>358</v>
      </c>
      <c r="K17" s="681" t="str">
        <f>'Plot By Plot SoA'!J18</f>
        <v>Frontage Amenity</v>
      </c>
      <c r="L17" s="685">
        <v>146</v>
      </c>
      <c r="P17" s="1139" t="s">
        <v>607</v>
      </c>
      <c r="Q17" s="1140"/>
      <c r="R17" s="1140"/>
      <c r="S17" s="1140"/>
      <c r="T17" s="1140"/>
      <c r="U17" s="1141"/>
    </row>
    <row r="18" spans="1:22" x14ac:dyDescent="0.35">
      <c r="A18" s="1696"/>
      <c r="B18" s="680">
        <v>13</v>
      </c>
      <c r="C18" s="680" t="s">
        <v>15</v>
      </c>
      <c r="D18" s="681" t="s">
        <v>362</v>
      </c>
      <c r="E18" s="682">
        <v>105.8</v>
      </c>
      <c r="F18" s="683">
        <f t="shared" si="2"/>
        <v>1138.82062</v>
      </c>
      <c r="G18" s="680" t="s">
        <v>348</v>
      </c>
      <c r="H18" s="684">
        <v>3</v>
      </c>
      <c r="I18" s="681" t="str">
        <f>IF('Plot By Plot SoA'!P19=0,"-",'Plot By Plot SoA'!P19)</f>
        <v>-</v>
      </c>
      <c r="J18" s="680" t="s">
        <v>357</v>
      </c>
      <c r="K18" s="681" t="str">
        <f>'Plot By Plot SoA'!J19</f>
        <v>Roof Terrace</v>
      </c>
      <c r="L18" s="685">
        <v>164</v>
      </c>
      <c r="P18" s="1142"/>
      <c r="Q18" s="1143"/>
      <c r="R18" s="1143"/>
      <c r="S18" s="1144"/>
      <c r="T18" s="644" t="s">
        <v>243</v>
      </c>
      <c r="U18" s="645" t="s">
        <v>242</v>
      </c>
    </row>
    <row r="19" spans="1:22" x14ac:dyDescent="0.35">
      <c r="A19" s="1697"/>
      <c r="B19" s="680">
        <v>14</v>
      </c>
      <c r="C19" s="680" t="s">
        <v>15</v>
      </c>
      <c r="D19" s="681" t="s">
        <v>361</v>
      </c>
      <c r="E19" s="682">
        <v>70.599999999999994</v>
      </c>
      <c r="F19" s="683">
        <f t="shared" si="2"/>
        <v>759.93133999999986</v>
      </c>
      <c r="G19" s="680" t="s">
        <v>343</v>
      </c>
      <c r="H19" s="684">
        <v>2</v>
      </c>
      <c r="I19" s="681" t="str">
        <f>IF('Plot By Plot SoA'!P20=0,"-",'Plot By Plot SoA'!P20)</f>
        <v>-</v>
      </c>
      <c r="J19" s="680" t="s">
        <v>358</v>
      </c>
      <c r="K19" s="681" t="str">
        <f>'Plot By Plot SoA'!J20</f>
        <v>Private Front Garden</v>
      </c>
      <c r="L19" s="685">
        <v>123</v>
      </c>
      <c r="P19" s="1587" t="s">
        <v>608</v>
      </c>
      <c r="Q19" s="1588"/>
      <c r="R19" s="1588"/>
      <c r="S19" s="1588"/>
      <c r="T19" s="646">
        <f>T7+T13</f>
        <v>25648.450000000077</v>
      </c>
      <c r="U19" s="643">
        <f>L340</f>
        <v>281234.35648299946</v>
      </c>
    </row>
    <row r="20" spans="1:22" ht="15.75" thickBot="1" x14ac:dyDescent="0.4">
      <c r="A20" s="1681" t="s">
        <v>338</v>
      </c>
      <c r="B20" s="739">
        <v>15</v>
      </c>
      <c r="C20" s="739" t="s">
        <v>15</v>
      </c>
      <c r="D20" s="743" t="s">
        <v>361</v>
      </c>
      <c r="E20" s="739">
        <v>99.3</v>
      </c>
      <c r="F20" s="741">
        <f t="shared" si="0"/>
        <v>1068.4679999999998</v>
      </c>
      <c r="G20" s="739" t="s">
        <v>348</v>
      </c>
      <c r="H20" s="742">
        <v>2</v>
      </c>
      <c r="I20" s="743" t="str">
        <f>IF('Plot By Plot SoA'!P21=0,"-",'Plot By Plot SoA'!P21)</f>
        <v>Y</v>
      </c>
      <c r="J20" s="739" t="s">
        <v>357</v>
      </c>
      <c r="K20" s="743" t="str">
        <f>'Plot By Plot SoA'!J21</f>
        <v>Private Front Garden</v>
      </c>
      <c r="L20" s="745">
        <v>198</v>
      </c>
      <c r="P20" s="1589" t="s">
        <v>609</v>
      </c>
      <c r="Q20" s="1590"/>
      <c r="R20" s="1590"/>
      <c r="S20" s="1591"/>
      <c r="T20" s="778">
        <f>SUM(T8+T14)</f>
        <v>479.32</v>
      </c>
      <c r="U20" s="777">
        <f>SUM(U8+U14)</f>
        <v>5159.3525479999998</v>
      </c>
    </row>
    <row r="21" spans="1:22" ht="30.75" thickBot="1" x14ac:dyDescent="0.4">
      <c r="A21" s="1681"/>
      <c r="B21" s="739">
        <v>16</v>
      </c>
      <c r="C21" s="739" t="s">
        <v>15</v>
      </c>
      <c r="D21" s="746" t="s">
        <v>365</v>
      </c>
      <c r="E21" s="739">
        <v>83.1</v>
      </c>
      <c r="F21" s="741">
        <f t="shared" si="0"/>
        <v>894.15599999999995</v>
      </c>
      <c r="G21" s="739" t="s">
        <v>343</v>
      </c>
      <c r="H21" s="742">
        <v>3</v>
      </c>
      <c r="I21" s="743" t="str">
        <f>IF('Plot By Plot SoA'!P22=0,"-",'Plot By Plot SoA'!P22)</f>
        <v>Y</v>
      </c>
      <c r="J21" s="739" t="s">
        <v>358</v>
      </c>
      <c r="K21" s="743" t="str">
        <f>'Plot By Plot SoA'!J22</f>
        <v>Roof Terrace</v>
      </c>
      <c r="L21" s="745">
        <v>243</v>
      </c>
      <c r="P21" s="1592" t="s">
        <v>606</v>
      </c>
      <c r="Q21" s="1593"/>
      <c r="R21" s="1593"/>
      <c r="S21" s="1593"/>
      <c r="T21" s="647">
        <f>SUM(T19:T20)</f>
        <v>26127.770000000077</v>
      </c>
      <c r="U21" s="650">
        <f>SUM(U19:U20)</f>
        <v>286393.70903099945</v>
      </c>
    </row>
    <row r="22" spans="1:22" ht="30.75" thickBot="1" x14ac:dyDescent="0.4">
      <c r="A22" s="1681"/>
      <c r="B22" s="739">
        <v>17</v>
      </c>
      <c r="C22" s="739" t="s">
        <v>15</v>
      </c>
      <c r="D22" s="746" t="s">
        <v>365</v>
      </c>
      <c r="E22" s="747">
        <v>83.1</v>
      </c>
      <c r="F22" s="748">
        <f t="shared" ref="F22:F74" si="3">SUM(E22*10.7639)</f>
        <v>894.4800899999999</v>
      </c>
      <c r="G22" s="739" t="s">
        <v>343</v>
      </c>
      <c r="H22" s="742">
        <v>3</v>
      </c>
      <c r="I22" s="743" t="str">
        <f>IF('Plot By Plot SoA'!P23=0,"-",'Plot By Plot SoA'!P23)</f>
        <v>Y</v>
      </c>
      <c r="J22" s="739" t="s">
        <v>358</v>
      </c>
      <c r="K22" s="743" t="str">
        <f>'Plot By Plot SoA'!J23</f>
        <v>Roof Terrace</v>
      </c>
      <c r="L22" s="744">
        <v>246</v>
      </c>
      <c r="V22" s="889"/>
    </row>
    <row r="23" spans="1:22" ht="15.75" thickBot="1" x14ac:dyDescent="0.4">
      <c r="A23" s="1682"/>
      <c r="B23" s="739">
        <v>18</v>
      </c>
      <c r="C23" s="739" t="s">
        <v>51</v>
      </c>
      <c r="D23" s="743" t="s">
        <v>359</v>
      </c>
      <c r="E23" s="747">
        <v>65.599999999999994</v>
      </c>
      <c r="F23" s="748">
        <f t="shared" si="3"/>
        <v>706.11183999999992</v>
      </c>
      <c r="G23" s="739" t="s">
        <v>343</v>
      </c>
      <c r="H23" s="742">
        <v>2</v>
      </c>
      <c r="I23" s="743" t="str">
        <f>IF('Plot By Plot SoA'!P24=0,"-",'Plot By Plot SoA'!P24)</f>
        <v>-</v>
      </c>
      <c r="J23" s="739" t="s">
        <v>358</v>
      </c>
      <c r="K23" s="743" t="str">
        <f>'Plot By Plot SoA'!J24</f>
        <v>Community Amenity</v>
      </c>
      <c r="L23" s="744" t="s">
        <v>77</v>
      </c>
      <c r="P23" s="1136" t="s">
        <v>398</v>
      </c>
      <c r="Q23" s="1137"/>
      <c r="R23" s="1137"/>
      <c r="S23" s="1137"/>
      <c r="T23" s="1137"/>
      <c r="U23" s="1137"/>
      <c r="V23" s="1138"/>
    </row>
    <row r="24" spans="1:22" x14ac:dyDescent="0.35">
      <c r="A24" s="1683" t="s">
        <v>339</v>
      </c>
      <c r="B24" s="739">
        <v>19</v>
      </c>
      <c r="C24" s="739" t="s">
        <v>51</v>
      </c>
      <c r="D24" s="743" t="s">
        <v>364</v>
      </c>
      <c r="E24" s="747">
        <v>83.7</v>
      </c>
      <c r="F24" s="748">
        <f t="shared" si="3"/>
        <v>900.93843000000004</v>
      </c>
      <c r="G24" s="739" t="s">
        <v>343</v>
      </c>
      <c r="H24" s="742">
        <v>2</v>
      </c>
      <c r="I24" s="743" t="str">
        <f>IF('Plot By Plot SoA'!P25=0,"-",'Plot By Plot SoA'!P25)</f>
        <v>-</v>
      </c>
      <c r="J24" s="739" t="s">
        <v>358</v>
      </c>
      <c r="K24" s="743" t="str">
        <f>'Plot By Plot SoA'!J25</f>
        <v>Roof Terrace</v>
      </c>
      <c r="L24" s="745">
        <v>65</v>
      </c>
      <c r="P24" s="165"/>
      <c r="Q24" s="791" t="s">
        <v>60</v>
      </c>
      <c r="R24" s="385" t="s">
        <v>192</v>
      </c>
      <c r="S24" s="792" t="s">
        <v>78</v>
      </c>
      <c r="T24" s="793" t="s">
        <v>55</v>
      </c>
      <c r="U24" s="162" t="s">
        <v>56</v>
      </c>
      <c r="V24" s="655" t="s">
        <v>52</v>
      </c>
    </row>
    <row r="25" spans="1:22" x14ac:dyDescent="0.35">
      <c r="A25" s="1681"/>
      <c r="B25" s="739">
        <v>20</v>
      </c>
      <c r="C25" s="739" t="s">
        <v>51</v>
      </c>
      <c r="D25" s="743" t="s">
        <v>359</v>
      </c>
      <c r="E25" s="747">
        <v>59.6</v>
      </c>
      <c r="F25" s="748">
        <f t="shared" si="3"/>
        <v>641.52844000000005</v>
      </c>
      <c r="G25" s="739" t="s">
        <v>347</v>
      </c>
      <c r="H25" s="742">
        <v>2</v>
      </c>
      <c r="I25" s="743" t="str">
        <f>IF('Plot By Plot SoA'!P26=0,"-",'Plot By Plot SoA'!P26)</f>
        <v>-</v>
      </c>
      <c r="J25" s="739" t="s">
        <v>358</v>
      </c>
      <c r="K25" s="743" t="str">
        <f>'Plot By Plot SoA'!J26</f>
        <v>Roof Terrace</v>
      </c>
      <c r="L25" s="745">
        <v>87</v>
      </c>
      <c r="P25" s="155" t="s">
        <v>28</v>
      </c>
      <c r="Q25" s="781">
        <f>'Plot By Plot SoA'!W7</f>
        <v>0</v>
      </c>
      <c r="R25" s="789">
        <f>'Plot By Plot SoA'!X7</f>
        <v>0</v>
      </c>
      <c r="S25" s="786">
        <f>'Plot By Plot SoA'!Y7</f>
        <v>23</v>
      </c>
      <c r="T25" s="786">
        <f>'Plot By Plot SoA'!Z7</f>
        <v>5</v>
      </c>
      <c r="U25" s="780">
        <f>'Plot By Plot SoA'!AA7</f>
        <v>111</v>
      </c>
      <c r="V25" s="471">
        <f>SUM(Q25:U25)</f>
        <v>139</v>
      </c>
    </row>
    <row r="26" spans="1:22" ht="30" x14ac:dyDescent="0.35">
      <c r="A26" s="1681"/>
      <c r="B26" s="739">
        <v>21</v>
      </c>
      <c r="C26" s="739" t="s">
        <v>15</v>
      </c>
      <c r="D26" s="746" t="s">
        <v>365</v>
      </c>
      <c r="E26" s="747">
        <v>83.6</v>
      </c>
      <c r="F26" s="748">
        <f t="shared" si="3"/>
        <v>899.86203999999987</v>
      </c>
      <c r="G26" s="739" t="s">
        <v>343</v>
      </c>
      <c r="H26" s="742">
        <v>3</v>
      </c>
      <c r="I26" s="743" t="str">
        <f>IF('Plot By Plot SoA'!P27=0,"-",'Plot By Plot SoA'!P27)</f>
        <v>Y</v>
      </c>
      <c r="J26" s="739" t="s">
        <v>358</v>
      </c>
      <c r="K26" s="743" t="str">
        <f>'Plot By Plot SoA'!J27</f>
        <v>Roof Terrace</v>
      </c>
      <c r="L26" s="745">
        <v>243</v>
      </c>
      <c r="P26" s="155" t="s">
        <v>29</v>
      </c>
      <c r="Q26" s="782">
        <f>'Plot By Plot SoA'!W8</f>
        <v>44</v>
      </c>
      <c r="R26" s="198">
        <f>'Plot By Plot SoA'!X8</f>
        <v>3</v>
      </c>
      <c r="S26" s="770">
        <f>'Plot By Plot SoA'!Y8</f>
        <v>23</v>
      </c>
      <c r="T26" s="770">
        <f>'Plot By Plot SoA'!Z8</f>
        <v>20</v>
      </c>
      <c r="U26" s="779">
        <f>'Plot By Plot SoA'!AA8</f>
        <v>6</v>
      </c>
      <c r="V26" s="805">
        <f>SUM(Q26:U26)</f>
        <v>96</v>
      </c>
    </row>
    <row r="27" spans="1:22" ht="30" x14ac:dyDescent="0.35">
      <c r="A27" s="1681"/>
      <c r="B27" s="739">
        <v>22</v>
      </c>
      <c r="C27" s="739" t="s">
        <v>15</v>
      </c>
      <c r="D27" s="746" t="s">
        <v>365</v>
      </c>
      <c r="E27" s="747">
        <v>83.6</v>
      </c>
      <c r="F27" s="748">
        <f t="shared" si="3"/>
        <v>899.86203999999987</v>
      </c>
      <c r="G27" s="739" t="s">
        <v>343</v>
      </c>
      <c r="H27" s="742">
        <v>3</v>
      </c>
      <c r="I27" s="743" t="str">
        <f>IF('Plot By Plot SoA'!P28=0,"-",'Plot By Plot SoA'!P28)</f>
        <v>Y</v>
      </c>
      <c r="J27" s="739" t="s">
        <v>358</v>
      </c>
      <c r="K27" s="743" t="str">
        <f>'Plot By Plot SoA'!J28</f>
        <v>Roof Terrace</v>
      </c>
      <c r="L27" s="744">
        <v>246</v>
      </c>
      <c r="P27" s="155" t="s">
        <v>30</v>
      </c>
      <c r="Q27" s="784">
        <f>'Plot By Plot SoA'!W9</f>
        <v>47</v>
      </c>
      <c r="R27" s="180">
        <f>'Plot By Plot SoA'!X9</f>
        <v>0</v>
      </c>
      <c r="S27" s="787">
        <f>'Plot By Plot SoA'!Y9</f>
        <v>18</v>
      </c>
      <c r="T27" s="787">
        <f>'Plot By Plot SoA'!Z9</f>
        <v>2</v>
      </c>
      <c r="U27" s="785">
        <f>'Plot By Plot SoA'!AA9</f>
        <v>2</v>
      </c>
      <c r="V27" s="805">
        <f>SUM(Q27:U27)</f>
        <v>69</v>
      </c>
    </row>
    <row r="28" spans="1:22" ht="15.75" thickBot="1" x14ac:dyDescent="0.4">
      <c r="A28" s="1681"/>
      <c r="B28" s="739">
        <v>23</v>
      </c>
      <c r="C28" s="739" t="s">
        <v>15</v>
      </c>
      <c r="D28" s="743" t="s">
        <v>362</v>
      </c>
      <c r="E28" s="747">
        <v>87.2</v>
      </c>
      <c r="F28" s="748">
        <f t="shared" si="3"/>
        <v>938.61207999999999</v>
      </c>
      <c r="G28" s="739" t="s">
        <v>348</v>
      </c>
      <c r="H28" s="742">
        <v>2</v>
      </c>
      <c r="I28" s="743" t="str">
        <f>IF('Plot By Plot SoA'!P29=0,"-",'Plot By Plot SoA'!P29)</f>
        <v>-</v>
      </c>
      <c r="J28" s="739" t="s">
        <v>357</v>
      </c>
      <c r="K28" s="743" t="str">
        <f>'Plot By Plot SoA'!J29</f>
        <v>Private Front Garden</v>
      </c>
      <c r="L28" s="745">
        <v>140</v>
      </c>
      <c r="P28" s="165" t="s">
        <v>62</v>
      </c>
      <c r="Q28" s="783">
        <f>'Plot By Plot SoA'!W10</f>
        <v>13</v>
      </c>
      <c r="R28" s="790">
        <f>'Plot By Plot SoA'!X10</f>
        <v>0</v>
      </c>
      <c r="S28" s="788">
        <f>'Plot By Plot SoA'!Y10</f>
        <v>0</v>
      </c>
      <c r="T28" s="788">
        <f>'Plot By Plot SoA'!Z10</f>
        <v>0</v>
      </c>
      <c r="U28" s="162">
        <f>'Plot By Plot SoA'!AA10</f>
        <v>0</v>
      </c>
      <c r="V28" s="656">
        <f>SUM(Q28:U28)</f>
        <v>13</v>
      </c>
    </row>
    <row r="29" spans="1:22" ht="16.5" customHeight="1" thickBot="1" x14ac:dyDescent="0.4">
      <c r="A29" s="1681"/>
      <c r="B29" s="739">
        <v>24</v>
      </c>
      <c r="C29" s="739" t="s">
        <v>15</v>
      </c>
      <c r="D29" s="743" t="s">
        <v>362</v>
      </c>
      <c r="E29" s="749">
        <v>159</v>
      </c>
      <c r="F29" s="750">
        <f t="shared" si="3"/>
        <v>1711.4601</v>
      </c>
      <c r="G29" s="739" t="s">
        <v>349</v>
      </c>
      <c r="H29" s="742">
        <v>3</v>
      </c>
      <c r="I29" s="743" t="str">
        <f>IF('Plot By Plot SoA'!P30=0,"-",'Plot By Plot SoA'!P30)</f>
        <v>Y</v>
      </c>
      <c r="J29" s="739" t="s">
        <v>357</v>
      </c>
      <c r="K29" s="743" t="str">
        <f>'Plot By Plot SoA'!J30</f>
        <v>Roof Terrace</v>
      </c>
      <c r="L29" s="745">
        <v>686</v>
      </c>
      <c r="P29" s="648" t="s">
        <v>52</v>
      </c>
      <c r="Q29" s="480">
        <f>SUM(Q25:Q28)</f>
        <v>104</v>
      </c>
      <c r="R29" s="649">
        <f>SUM(R26:R28)</f>
        <v>3</v>
      </c>
      <c r="S29" s="480">
        <f>SUM(S25:S28)</f>
        <v>64</v>
      </c>
      <c r="T29" s="480">
        <f>SUM(T25:T28)</f>
        <v>27</v>
      </c>
      <c r="U29" s="480">
        <f>SUM(U25:U28)</f>
        <v>119</v>
      </c>
      <c r="V29" s="891">
        <f>SUM(Q29:U29)</f>
        <v>317</v>
      </c>
    </row>
    <row r="30" spans="1:22" ht="16.5" customHeight="1" thickBot="1" x14ac:dyDescent="0.4">
      <c r="A30" s="1682"/>
      <c r="B30" s="739">
        <v>25</v>
      </c>
      <c r="C30" s="739" t="s">
        <v>15</v>
      </c>
      <c r="D30" s="743" t="s">
        <v>362</v>
      </c>
      <c r="E30" s="747">
        <v>71.5</v>
      </c>
      <c r="F30" s="748">
        <f t="shared" si="3"/>
        <v>769.61884999999995</v>
      </c>
      <c r="G30" s="739" t="s">
        <v>343</v>
      </c>
      <c r="H30" s="742">
        <v>2</v>
      </c>
      <c r="I30" s="743" t="str">
        <f>IF('Plot By Plot SoA'!P32=0,"-",'Plot By Plot SoA'!P32)</f>
        <v>-</v>
      </c>
      <c r="J30" s="739" t="s">
        <v>358</v>
      </c>
      <c r="K30" s="743" t="str">
        <f>'Plot By Plot SoA'!J32</f>
        <v>Community Amenity</v>
      </c>
      <c r="L30" s="745" t="s">
        <v>77</v>
      </c>
    </row>
    <row r="31" spans="1:22" ht="16.5" customHeight="1" x14ac:dyDescent="0.35">
      <c r="A31" s="1686" t="s">
        <v>20</v>
      </c>
      <c r="B31" s="688">
        <v>26</v>
      </c>
      <c r="C31" s="688" t="s">
        <v>51</v>
      </c>
      <c r="D31" s="689" t="s">
        <v>378</v>
      </c>
      <c r="E31" s="688">
        <v>77.599999999999994</v>
      </c>
      <c r="F31" s="690">
        <f t="shared" si="3"/>
        <v>835.27863999999988</v>
      </c>
      <c r="G31" s="688" t="s">
        <v>343</v>
      </c>
      <c r="H31" s="691">
        <v>2</v>
      </c>
      <c r="I31" s="689" t="str">
        <f>IF('Plot By Plot SoA'!P33=0,"-",'Plot By Plot SoA'!P33)</f>
        <v>-</v>
      </c>
      <c r="J31" s="688" t="s">
        <v>358</v>
      </c>
      <c r="K31" s="689" t="str">
        <f>'Plot By Plot SoA'!J33</f>
        <v>Roof Terrace</v>
      </c>
      <c r="L31" s="692">
        <v>89</v>
      </c>
      <c r="P31" s="1139" t="s">
        <v>404</v>
      </c>
      <c r="Q31" s="1140"/>
      <c r="R31" s="1140"/>
      <c r="S31" s="1140"/>
      <c r="T31" s="1140"/>
      <c r="U31" s="1141"/>
    </row>
    <row r="32" spans="1:22" ht="16.5" customHeight="1" x14ac:dyDescent="0.35">
      <c r="A32" s="1687"/>
      <c r="B32" s="688">
        <v>27</v>
      </c>
      <c r="C32" s="688" t="s">
        <v>51</v>
      </c>
      <c r="D32" s="689" t="s">
        <v>378</v>
      </c>
      <c r="E32" s="688">
        <v>77.2</v>
      </c>
      <c r="F32" s="690">
        <f t="shared" si="3"/>
        <v>830.97307999999998</v>
      </c>
      <c r="G32" s="688" t="s">
        <v>343</v>
      </c>
      <c r="H32" s="691">
        <v>2</v>
      </c>
      <c r="I32" s="689" t="str">
        <f>IF('Plot By Plot SoA'!P34=0,"-",'Plot By Plot SoA'!P34)</f>
        <v>-</v>
      </c>
      <c r="J32" s="688" t="s">
        <v>358</v>
      </c>
      <c r="K32" s="689" t="str">
        <f>IF('Plot By Plot SoA'!J34=0,"-",'Plot By Plot SoA'!J34)</f>
        <v>Roof Terrace</v>
      </c>
      <c r="L32" s="692">
        <v>89</v>
      </c>
      <c r="P32" s="652"/>
      <c r="Q32" s="795" t="s">
        <v>400</v>
      </c>
      <c r="R32" s="388" t="s">
        <v>401</v>
      </c>
      <c r="S32" s="794" t="s">
        <v>403</v>
      </c>
      <c r="T32" s="769" t="s">
        <v>402</v>
      </c>
      <c r="U32" s="654" t="s">
        <v>52</v>
      </c>
    </row>
    <row r="33" spans="1:25" ht="16.5" customHeight="1" x14ac:dyDescent="0.35">
      <c r="A33" s="1687"/>
      <c r="B33" s="688">
        <v>28</v>
      </c>
      <c r="C33" s="688" t="s">
        <v>15</v>
      </c>
      <c r="D33" s="689" t="s">
        <v>361</v>
      </c>
      <c r="E33" s="688">
        <v>97.1</v>
      </c>
      <c r="F33" s="690">
        <f t="shared" si="3"/>
        <v>1045.1746899999998</v>
      </c>
      <c r="G33" s="688" t="s">
        <v>348</v>
      </c>
      <c r="H33" s="691">
        <v>2</v>
      </c>
      <c r="I33" s="689" t="str">
        <f>IF('Plot By Plot SoA'!P35=0,"-",'Plot By Plot SoA'!P35)</f>
        <v>-</v>
      </c>
      <c r="J33" s="688" t="s">
        <v>358</v>
      </c>
      <c r="K33" s="689" t="str">
        <f>IF('Plot By Plot SoA'!J35=0,"-",'Plot By Plot SoA'!J35)</f>
        <v>Community Amenity</v>
      </c>
      <c r="L33" s="692" t="s">
        <v>77</v>
      </c>
      <c r="P33" s="653" t="s">
        <v>28</v>
      </c>
      <c r="Q33" s="796">
        <f>COUNTIFS(D$6:D$322,"EoT House",G$6:G$322,"*1B*")</f>
        <v>0</v>
      </c>
      <c r="R33" s="477">
        <f>COUNTIFS(D$6:D$322,"MT House",G$6:G$322,"*1B*")</f>
        <v>0</v>
      </c>
      <c r="S33" s="804">
        <f>COUNTIFS(D$6:D$322,"Semi-Detached House",G$6:G$322,"*1B*")</f>
        <v>0</v>
      </c>
      <c r="T33" s="800">
        <f>COUNTIFS(D$6:D$322,"Detached House",G$6:G$322,"*1B*")</f>
        <v>0</v>
      </c>
      <c r="U33" s="654">
        <f>SUM(Q33:T33)</f>
        <v>0</v>
      </c>
    </row>
    <row r="34" spans="1:25" ht="16.5" customHeight="1" x14ac:dyDescent="0.35">
      <c r="A34" s="1687"/>
      <c r="B34" s="688">
        <v>29</v>
      </c>
      <c r="C34" s="688" t="s">
        <v>15</v>
      </c>
      <c r="D34" s="689" t="s">
        <v>362</v>
      </c>
      <c r="E34" s="688">
        <v>94.7</v>
      </c>
      <c r="F34" s="690">
        <f t="shared" si="3"/>
        <v>1019.34133</v>
      </c>
      <c r="G34" s="688" t="s">
        <v>344</v>
      </c>
      <c r="H34" s="691">
        <v>3</v>
      </c>
      <c r="I34" s="689" t="str">
        <f>IF('Plot By Plot SoA'!P36=0,"-",'Plot By Plot SoA'!P36)</f>
        <v>-</v>
      </c>
      <c r="J34" s="688" t="s">
        <v>357</v>
      </c>
      <c r="K34" s="689" t="str">
        <f>IF('Plot By Plot SoA'!J36=0,"-",'Plot By Plot SoA'!J36)</f>
        <v>Roof Terrace</v>
      </c>
      <c r="L34" s="692">
        <v>140</v>
      </c>
      <c r="P34" s="155" t="s">
        <v>29</v>
      </c>
      <c r="Q34" s="806">
        <f>COUNTIFS(D$6:D$322,"EoT House",G$6:G$322,"*2B*")</f>
        <v>13</v>
      </c>
      <c r="R34" s="751">
        <f>COUNTIFS(D$6:D$322,"MT House",G$6:G$322,"*2B*")</f>
        <v>26</v>
      </c>
      <c r="S34" s="767">
        <f>COUNTIFS(D$6:D$322,"Semi-Detached House",G$6:G$322,"*2B*")</f>
        <v>5</v>
      </c>
      <c r="T34" s="765">
        <f>COUNTIFS(D$6:D$322,"Detached House",G$6:G$322,"*2B*")</f>
        <v>0</v>
      </c>
      <c r="U34" s="805">
        <f>SUM(Q34:T34)</f>
        <v>44</v>
      </c>
    </row>
    <row r="35" spans="1:25" ht="16.5" customHeight="1" x14ac:dyDescent="0.35">
      <c r="A35" s="1687"/>
      <c r="B35" s="688">
        <v>30</v>
      </c>
      <c r="C35" s="688" t="s">
        <v>15</v>
      </c>
      <c r="D35" s="689" t="s">
        <v>362</v>
      </c>
      <c r="E35" s="688">
        <v>94.3</v>
      </c>
      <c r="F35" s="690">
        <f t="shared" si="3"/>
        <v>1015.03577</v>
      </c>
      <c r="G35" s="688" t="s">
        <v>344</v>
      </c>
      <c r="H35" s="691">
        <v>3</v>
      </c>
      <c r="I35" s="689" t="str">
        <f>IF('Plot By Plot SoA'!P37=0,"-",'Plot By Plot SoA'!P37)</f>
        <v>-</v>
      </c>
      <c r="J35" s="688" t="s">
        <v>357</v>
      </c>
      <c r="K35" s="689" t="str">
        <f>IF('Plot By Plot SoA'!J37=0,"-",'Plot By Plot SoA'!J37)</f>
        <v>Roof Terrace</v>
      </c>
      <c r="L35" s="692">
        <v>144</v>
      </c>
      <c r="P35" s="155" t="s">
        <v>30</v>
      </c>
      <c r="Q35" s="802">
        <f>COUNTIFS(D$6:D$322,"EoT House",G$6:G$322,"*3B*")</f>
        <v>21</v>
      </c>
      <c r="R35" s="751">
        <f>COUNTIFS(D$6:D$322,"MT House",G$6:G$322,"*3B*")</f>
        <v>22</v>
      </c>
      <c r="S35" s="803">
        <f>COUNTIFS(D$6:D$322,"Semi-Detached House",G$6:G$322,"*3B*")</f>
        <v>4</v>
      </c>
      <c r="T35" s="765">
        <f>COUNTIFS(D$6:D$322,"Detached House",G$6:G$322,"*3B*")</f>
        <v>0</v>
      </c>
      <c r="U35" s="805">
        <f>SUM(Q35:T35)</f>
        <v>47</v>
      </c>
    </row>
    <row r="36" spans="1:25" x14ac:dyDescent="0.35">
      <c r="A36" s="1687"/>
      <c r="B36" s="688">
        <v>31</v>
      </c>
      <c r="C36" s="688" t="s">
        <v>51</v>
      </c>
      <c r="D36" s="689" t="s">
        <v>380</v>
      </c>
      <c r="E36" s="688">
        <v>107.5</v>
      </c>
      <c r="F36" s="690">
        <f t="shared" si="3"/>
        <v>1157.11925</v>
      </c>
      <c r="G36" s="688" t="s">
        <v>348</v>
      </c>
      <c r="H36" s="691">
        <v>3</v>
      </c>
      <c r="I36" s="689" t="str">
        <f>IF('Plot By Plot SoA'!P38=0,"-",'Plot By Plot SoA'!P38)</f>
        <v>-</v>
      </c>
      <c r="J36" s="688" t="s">
        <v>358</v>
      </c>
      <c r="K36" s="689" t="str">
        <f>IF('Plot By Plot SoA'!J38=0,"-",'Plot By Plot SoA'!J38)</f>
        <v>Balcony</v>
      </c>
      <c r="L36" s="692">
        <v>76</v>
      </c>
      <c r="P36" s="165" t="s">
        <v>62</v>
      </c>
      <c r="Q36" s="797">
        <f>COUNTIFS(D$6:D$322,"EoT House",G$6:G$322,"*4B*")</f>
        <v>5</v>
      </c>
      <c r="R36" s="799">
        <f>COUNTIFS(D$6:D$322,"MT House",G$6:G$322,"*4B*")</f>
        <v>4</v>
      </c>
      <c r="S36" s="460">
        <f>COUNTIFS(D$6:D$322,"Semi-Detached House",G$6:G$322,"*4B*")</f>
        <v>3</v>
      </c>
      <c r="T36" s="801">
        <f>COUNTIFS(D$6:D$322,"Detached House",G$6:G$322,"*4B*")</f>
        <v>1</v>
      </c>
      <c r="U36" s="645">
        <f>SUM(Q36:T36)</f>
        <v>13</v>
      </c>
    </row>
    <row r="37" spans="1:25" ht="15.75" thickBot="1" x14ac:dyDescent="0.4">
      <c r="A37" s="1687"/>
      <c r="B37" s="688">
        <v>32</v>
      </c>
      <c r="C37" s="688" t="s">
        <v>15</v>
      </c>
      <c r="D37" s="689" t="s">
        <v>361</v>
      </c>
      <c r="E37" s="688">
        <v>91.7</v>
      </c>
      <c r="F37" s="690">
        <f t="shared" si="3"/>
        <v>987.04962999999998</v>
      </c>
      <c r="G37" s="688" t="s">
        <v>344</v>
      </c>
      <c r="H37" s="691">
        <v>3</v>
      </c>
      <c r="I37" s="689" t="str">
        <f>IF('Plot By Plot SoA'!P39=0,"-",'Plot By Plot SoA'!P39)</f>
        <v>-</v>
      </c>
      <c r="J37" s="688" t="s">
        <v>357</v>
      </c>
      <c r="K37" s="689" t="str">
        <f>IF('Plot By Plot SoA'!J39=0,"-",'Plot By Plot SoA'!J39)</f>
        <v>Private Front Garden</v>
      </c>
      <c r="L37" s="692">
        <v>73</v>
      </c>
      <c r="P37" s="621" t="s">
        <v>52</v>
      </c>
      <c r="Q37" s="657">
        <f>SUM(Q33:Q36)</f>
        <v>39</v>
      </c>
      <c r="R37" s="798">
        <f t="shared" ref="R37:T37" si="4">SUM(R33:R36)</f>
        <v>52</v>
      </c>
      <c r="S37" s="798">
        <f t="shared" si="4"/>
        <v>12</v>
      </c>
      <c r="T37" s="658">
        <f t="shared" si="4"/>
        <v>1</v>
      </c>
      <c r="U37" s="472">
        <f>SUM(U33:U36)</f>
        <v>104</v>
      </c>
    </row>
    <row r="38" spans="1:25" ht="15.75" thickBot="1" x14ac:dyDescent="0.4">
      <c r="A38" s="1687"/>
      <c r="B38" s="688">
        <v>33</v>
      </c>
      <c r="C38" s="688" t="s">
        <v>15</v>
      </c>
      <c r="D38" s="689" t="s">
        <v>362</v>
      </c>
      <c r="E38" s="688">
        <v>75.3</v>
      </c>
      <c r="F38" s="690">
        <f t="shared" si="3"/>
        <v>810.52166999999997</v>
      </c>
      <c r="G38" s="688" t="s">
        <v>343</v>
      </c>
      <c r="H38" s="691">
        <v>3</v>
      </c>
      <c r="I38" s="689" t="str">
        <f>IF('Plot By Plot SoA'!P40=0,"-",'Plot By Plot SoA'!P40)</f>
        <v>-</v>
      </c>
      <c r="J38" s="688" t="s">
        <v>358</v>
      </c>
      <c r="K38" s="689" t="str">
        <f>IF('Plot By Plot SoA'!J40=0,"-",'Plot By Plot SoA'!J40)</f>
        <v>Private Front Garden</v>
      </c>
      <c r="L38" s="692">
        <v>97</v>
      </c>
    </row>
    <row r="39" spans="1:25" ht="18" thickBot="1" x14ac:dyDescent="0.4">
      <c r="A39" s="1687"/>
      <c r="B39" s="688">
        <v>34</v>
      </c>
      <c r="C39" s="688" t="s">
        <v>15</v>
      </c>
      <c r="D39" s="689" t="s">
        <v>361</v>
      </c>
      <c r="E39" s="688">
        <v>75.3</v>
      </c>
      <c r="F39" s="690">
        <f t="shared" si="3"/>
        <v>810.52166999999997</v>
      </c>
      <c r="G39" s="688" t="s">
        <v>343</v>
      </c>
      <c r="H39" s="691">
        <v>3</v>
      </c>
      <c r="I39" s="689" t="str">
        <f>IF('Plot By Plot SoA'!P41=0,"-",'Plot By Plot SoA'!P41)</f>
        <v>-</v>
      </c>
      <c r="J39" s="688" t="s">
        <v>358</v>
      </c>
      <c r="K39" s="689" t="str">
        <f>IF('Plot By Plot SoA'!J41=0,"-",'Plot By Plot SoA'!J41)</f>
        <v>Frontage Amenity</v>
      </c>
      <c r="L39" s="692">
        <v>70</v>
      </c>
      <c r="P39" s="1403" t="s">
        <v>68</v>
      </c>
      <c r="Q39" s="1404"/>
      <c r="R39" s="1404"/>
      <c r="S39" s="1402"/>
      <c r="T39" s="2"/>
      <c r="U39" s="1346" t="s">
        <v>68</v>
      </c>
      <c r="V39" s="1347"/>
      <c r="W39" s="1347"/>
      <c r="X39" s="1347"/>
      <c r="Y39" s="1348"/>
    </row>
    <row r="40" spans="1:25" ht="18" customHeight="1" x14ac:dyDescent="0.35">
      <c r="A40" s="1687"/>
      <c r="B40" s="688">
        <v>35</v>
      </c>
      <c r="C40" s="688" t="s">
        <v>15</v>
      </c>
      <c r="D40" s="689" t="s">
        <v>361</v>
      </c>
      <c r="E40" s="688">
        <v>128.5</v>
      </c>
      <c r="F40" s="690">
        <f t="shared" si="3"/>
        <v>1383.1611499999999</v>
      </c>
      <c r="G40" s="688" t="s">
        <v>350</v>
      </c>
      <c r="H40" s="691">
        <v>4</v>
      </c>
      <c r="I40" s="689" t="str">
        <f>IF('Plot By Plot SoA'!P42=0,"-",'Plot By Plot SoA'!P42)</f>
        <v>Y</v>
      </c>
      <c r="J40" s="688" t="s">
        <v>357</v>
      </c>
      <c r="K40" s="689" t="str">
        <f>IF('Plot By Plot SoA'!J42=0,"-",'Plot By Plot SoA'!J42)</f>
        <v>Private Front Garden</v>
      </c>
      <c r="L40" s="692">
        <v>130</v>
      </c>
      <c r="P40" s="1343" t="s">
        <v>70</v>
      </c>
      <c r="Q40" s="1345"/>
      <c r="R40" s="1396" t="s">
        <v>69</v>
      </c>
      <c r="S40" s="1340"/>
      <c r="T40" s="2"/>
      <c r="U40" s="1343" t="s">
        <v>70</v>
      </c>
      <c r="V40" s="1344"/>
      <c r="W40" s="1345"/>
      <c r="X40" s="1339" t="s">
        <v>328</v>
      </c>
      <c r="Y40" s="1340"/>
    </row>
    <row r="41" spans="1:25" ht="17.25" x14ac:dyDescent="0.35">
      <c r="A41" s="1687"/>
      <c r="B41" s="688">
        <v>36</v>
      </c>
      <c r="C41" s="688" t="s">
        <v>15</v>
      </c>
      <c r="D41" s="689" t="s">
        <v>361</v>
      </c>
      <c r="E41" s="688">
        <v>102.5</v>
      </c>
      <c r="F41" s="690">
        <f t="shared" si="3"/>
        <v>1103.2997499999999</v>
      </c>
      <c r="G41" s="688" t="s">
        <v>344</v>
      </c>
      <c r="H41" s="691">
        <v>3</v>
      </c>
      <c r="I41" s="689" t="str">
        <f>IF('Plot By Plot SoA'!P43=0,"-",'Plot By Plot SoA'!P43)</f>
        <v>Y</v>
      </c>
      <c r="J41" s="688" t="s">
        <v>357</v>
      </c>
      <c r="K41" s="689" t="str">
        <f>IF('Plot By Plot SoA'!J43=0,"-",'Plot By Plot SoA'!J43)</f>
        <v>Shared Garden</v>
      </c>
      <c r="L41" s="692" t="s">
        <v>77</v>
      </c>
      <c r="P41" s="1397" t="s">
        <v>159</v>
      </c>
      <c r="Q41" s="1398"/>
      <c r="R41" s="1399">
        <f>'Plot By Plot SoA'!X15</f>
        <v>34</v>
      </c>
      <c r="S41" s="1400"/>
      <c r="T41" s="2"/>
      <c r="U41" s="1397" t="s">
        <v>147</v>
      </c>
      <c r="V41" s="1595"/>
      <c r="W41" s="1398"/>
      <c r="X41" s="1341">
        <f>'Plot By Plot SoA'!AD15</f>
        <v>9750.6989999999987</v>
      </c>
      <c r="Y41" s="1342"/>
    </row>
    <row r="42" spans="1:25" ht="17.25" x14ac:dyDescent="0.35">
      <c r="A42" s="1687"/>
      <c r="B42" s="688">
        <v>37</v>
      </c>
      <c r="C42" s="688" t="s">
        <v>15</v>
      </c>
      <c r="D42" s="689" t="s">
        <v>362</v>
      </c>
      <c r="E42" s="693">
        <v>116.7</v>
      </c>
      <c r="F42" s="694">
        <f t="shared" si="3"/>
        <v>1256.1471300000001</v>
      </c>
      <c r="G42" s="688" t="s">
        <v>344</v>
      </c>
      <c r="H42" s="691">
        <v>3</v>
      </c>
      <c r="I42" s="689" t="str">
        <f>IF('Plot By Plot SoA'!P44=0,"-",'Plot By Plot SoA'!P44)</f>
        <v>Y</v>
      </c>
      <c r="J42" s="688" t="s">
        <v>357</v>
      </c>
      <c r="K42" s="689" t="str">
        <f>IF('Plot By Plot SoA'!J44=0,"-",'Plot By Plot SoA'!J44)</f>
        <v>Shared Garden</v>
      </c>
      <c r="L42" s="692">
        <v>50</v>
      </c>
      <c r="P42" s="1599" t="s">
        <v>160</v>
      </c>
      <c r="Q42" s="1601"/>
      <c r="R42" s="1606">
        <f>'Plot By Plot SoA'!X16</f>
        <v>9</v>
      </c>
      <c r="S42" s="1577"/>
      <c r="T42" s="2"/>
      <c r="U42" s="1599" t="s">
        <v>220</v>
      </c>
      <c r="V42" s="1600"/>
      <c r="W42" s="1601"/>
      <c r="X42" s="1583">
        <f>'Plot By Plot SoA'!AD16</f>
        <v>24924.857399999997</v>
      </c>
      <c r="Y42" s="1582"/>
    </row>
    <row r="43" spans="1:25" ht="17.25" x14ac:dyDescent="0.35">
      <c r="A43" s="1687"/>
      <c r="B43" s="688">
        <v>38</v>
      </c>
      <c r="C43" s="688" t="s">
        <v>342</v>
      </c>
      <c r="D43" s="689" t="s">
        <v>370</v>
      </c>
      <c r="E43" s="688">
        <v>39</v>
      </c>
      <c r="F43" s="690">
        <f t="shared" si="3"/>
        <v>419.7921</v>
      </c>
      <c r="G43" s="688" t="s">
        <v>347</v>
      </c>
      <c r="H43" s="691">
        <v>1</v>
      </c>
      <c r="I43" s="689" t="str">
        <f>IF('Plot By Plot SoA'!P46=0,"-",'Plot By Plot SoA'!P46)</f>
        <v>-</v>
      </c>
      <c r="J43" s="688" t="s">
        <v>358</v>
      </c>
      <c r="K43" s="689" t="str">
        <f>IF('Plot By Plot SoA'!J46=0,"-",'Plot By Plot SoA'!J46)</f>
        <v>Frontage Amenity</v>
      </c>
      <c r="L43" s="692">
        <v>169</v>
      </c>
      <c r="P43" s="1330" t="s">
        <v>67</v>
      </c>
      <c r="Q43" s="1332"/>
      <c r="R43" s="1392">
        <f>'Plot By Plot SoA'!X17</f>
        <v>12</v>
      </c>
      <c r="S43" s="1327"/>
      <c r="T43" s="2"/>
      <c r="U43" s="1330" t="s">
        <v>148</v>
      </c>
      <c r="V43" s="1331"/>
      <c r="W43" s="1332"/>
      <c r="X43" s="1581">
        <f>'Plot By Plot SoA'!AD17</f>
        <v>4981.0220999999992</v>
      </c>
      <c r="Y43" s="1582"/>
    </row>
    <row r="44" spans="1:25" ht="17.25" x14ac:dyDescent="0.35">
      <c r="A44" s="1687"/>
      <c r="B44" s="688">
        <v>39</v>
      </c>
      <c r="C44" s="688" t="s">
        <v>51</v>
      </c>
      <c r="D44" s="689" t="s">
        <v>381</v>
      </c>
      <c r="E44" s="688">
        <v>76.8</v>
      </c>
      <c r="F44" s="690">
        <f t="shared" si="3"/>
        <v>826.66751999999997</v>
      </c>
      <c r="G44" s="688" t="s">
        <v>344</v>
      </c>
      <c r="H44" s="691">
        <v>2</v>
      </c>
      <c r="I44" s="689" t="str">
        <f>IF('Plot By Plot SoA'!P47=0,"-",'Plot By Plot SoA'!P47)</f>
        <v>-</v>
      </c>
      <c r="J44" s="688" t="s">
        <v>358</v>
      </c>
      <c r="K44" s="689" t="str">
        <f>IF('Plot By Plot SoA'!J47=0,"-",'Plot By Plot SoA'!J47)</f>
        <v>Roof Terrace</v>
      </c>
      <c r="L44" s="692">
        <v>126</v>
      </c>
      <c r="P44" s="1578" t="s">
        <v>63</v>
      </c>
      <c r="Q44" s="1580"/>
      <c r="R44" s="1586">
        <f>'Plot By Plot SoA'!X18</f>
        <v>61</v>
      </c>
      <c r="S44" s="1582"/>
      <c r="T44" s="2"/>
      <c r="U44" s="1578" t="s">
        <v>149</v>
      </c>
      <c r="V44" s="1579"/>
      <c r="W44" s="1580"/>
      <c r="X44" s="1581">
        <f>'Plot By Plot SoA'!AD18</f>
        <v>1950.1397999999997</v>
      </c>
      <c r="Y44" s="1582"/>
    </row>
    <row r="45" spans="1:25" ht="17.25" x14ac:dyDescent="0.35">
      <c r="A45" s="1687"/>
      <c r="B45" s="688">
        <v>40</v>
      </c>
      <c r="C45" s="688" t="s">
        <v>15</v>
      </c>
      <c r="D45" s="689" t="s">
        <v>362</v>
      </c>
      <c r="E45" s="688">
        <v>93.9</v>
      </c>
      <c r="F45" s="690">
        <f t="shared" si="3"/>
        <v>1010.7302100000001</v>
      </c>
      <c r="G45" s="688" t="s">
        <v>348</v>
      </c>
      <c r="H45" s="691">
        <v>3</v>
      </c>
      <c r="I45" s="689" t="str">
        <f>IF('Plot By Plot SoA'!P48=0,"-",'Plot By Plot SoA'!P48)</f>
        <v>-</v>
      </c>
      <c r="J45" s="688" t="s">
        <v>358</v>
      </c>
      <c r="K45" s="689" t="str">
        <f>IF('Plot By Plot SoA'!J48=0,"-",'Plot By Plot SoA'!J48)</f>
        <v>Roof Terrace</v>
      </c>
      <c r="L45" s="692">
        <v>82</v>
      </c>
      <c r="P45" s="1334" t="s">
        <v>175</v>
      </c>
      <c r="Q45" s="1336"/>
      <c r="R45" s="1586">
        <f>'Plot By Plot SoA'!X19</f>
        <v>2</v>
      </c>
      <c r="S45" s="1582"/>
      <c r="T45" s="2"/>
      <c r="U45" s="1334" t="s">
        <v>329</v>
      </c>
      <c r="V45" s="1335"/>
      <c r="W45" s="1336"/>
      <c r="X45" s="1576">
        <f>'Plot By Plot SoA'!AD19</f>
        <v>11883.3642</v>
      </c>
      <c r="Y45" s="1577"/>
    </row>
    <row r="46" spans="1:25" ht="17.25" x14ac:dyDescent="0.35">
      <c r="A46" s="1687"/>
      <c r="B46" s="688">
        <v>41</v>
      </c>
      <c r="C46" s="688" t="s">
        <v>51</v>
      </c>
      <c r="D46" s="689" t="s">
        <v>382</v>
      </c>
      <c r="E46" s="688">
        <v>84.1</v>
      </c>
      <c r="F46" s="690">
        <f t="shared" si="3"/>
        <v>905.24398999999994</v>
      </c>
      <c r="G46" s="688" t="s">
        <v>343</v>
      </c>
      <c r="H46" s="691">
        <v>2</v>
      </c>
      <c r="I46" s="689" t="str">
        <f>IF('Plot By Plot SoA'!P49=0,"-",'Plot By Plot SoA'!P49)</f>
        <v>-</v>
      </c>
      <c r="J46" s="688" t="s">
        <v>358</v>
      </c>
      <c r="K46" s="689" t="str">
        <f>IF('Plot By Plot SoA'!J49=0,"-",'Plot By Plot SoA'!J49)</f>
        <v>Roof Terrace</v>
      </c>
      <c r="L46" s="692">
        <v>70</v>
      </c>
      <c r="P46" s="1578" t="s">
        <v>66</v>
      </c>
      <c r="Q46" s="1580"/>
      <c r="R46" s="1586">
        <f>'Plot By Plot SoA'!X20</f>
        <v>64</v>
      </c>
      <c r="S46" s="1582"/>
      <c r="T46" s="2"/>
      <c r="U46" s="1596" t="s">
        <v>151</v>
      </c>
      <c r="V46" s="1597"/>
      <c r="W46" s="1598"/>
      <c r="X46" s="1576">
        <f>'Plot By Plot SoA'!AD20</f>
        <v>7357.5881999999992</v>
      </c>
      <c r="Y46" s="1577"/>
    </row>
    <row r="47" spans="1:25" ht="17.25" x14ac:dyDescent="0.35">
      <c r="A47" s="1688"/>
      <c r="B47" s="688">
        <v>42</v>
      </c>
      <c r="C47" s="688" t="s">
        <v>51</v>
      </c>
      <c r="D47" s="689" t="s">
        <v>380</v>
      </c>
      <c r="E47" s="688">
        <v>111.6</v>
      </c>
      <c r="F47" s="690">
        <f t="shared" si="3"/>
        <v>1201.2512399999998</v>
      </c>
      <c r="G47" s="688" t="s">
        <v>345</v>
      </c>
      <c r="H47" s="691">
        <v>2</v>
      </c>
      <c r="I47" s="689" t="str">
        <f>IF('Plot By Plot SoA'!P50=0,"-",'Plot By Plot SoA'!P50)</f>
        <v>-</v>
      </c>
      <c r="J47" s="688" t="s">
        <v>358</v>
      </c>
      <c r="K47" s="689" t="str">
        <f>IF('Plot By Plot SoA'!J50=0,"-",'Plot By Plot SoA'!J50)</f>
        <v>Community Amenity</v>
      </c>
      <c r="L47" s="692" t="s">
        <v>77</v>
      </c>
      <c r="P47" s="1330" t="s">
        <v>64</v>
      </c>
      <c r="Q47" s="1332"/>
      <c r="R47" s="1586">
        <f>'Plot By Plot SoA'!X21</f>
        <v>36</v>
      </c>
      <c r="S47" s="1582"/>
      <c r="T47" s="2"/>
      <c r="U47" s="1578" t="s">
        <v>152</v>
      </c>
      <c r="V47" s="1579"/>
      <c r="W47" s="1580"/>
      <c r="X47" s="1576">
        <f>'Plot By Plot SoA'!AD21</f>
        <v>4936.7249999999995</v>
      </c>
      <c r="Y47" s="1577"/>
    </row>
    <row r="48" spans="1:25" ht="17.25" x14ac:dyDescent="0.35">
      <c r="A48" s="1689" t="s">
        <v>23</v>
      </c>
      <c r="B48" s="695">
        <v>43</v>
      </c>
      <c r="C48" s="695" t="s">
        <v>342</v>
      </c>
      <c r="D48" s="696" t="s">
        <v>383</v>
      </c>
      <c r="E48" s="697">
        <v>46.9</v>
      </c>
      <c r="F48" s="698">
        <f t="shared" si="3"/>
        <v>504.82690999999994</v>
      </c>
      <c r="G48" s="695" t="s">
        <v>347</v>
      </c>
      <c r="H48" s="699">
        <v>1</v>
      </c>
      <c r="I48" s="696" t="str">
        <f>IF('Plot By Plot SoA'!P51=0,"-",'Plot By Plot SoA'!P51)</f>
        <v>-</v>
      </c>
      <c r="J48" s="695" t="s">
        <v>358</v>
      </c>
      <c r="K48" s="696" t="str">
        <f>IF('Plot By Plot SoA'!J51=0,"-",'Plot By Plot SoA'!J51)</f>
        <v>Community Amenity</v>
      </c>
      <c r="L48" s="700" t="s">
        <v>77</v>
      </c>
      <c r="P48" s="1584" t="s">
        <v>214</v>
      </c>
      <c r="Q48" s="1585"/>
      <c r="R48" s="1586">
        <f>'Plot By Plot SoA'!X22</f>
        <v>3</v>
      </c>
      <c r="S48" s="1582"/>
      <c r="T48" s="382"/>
      <c r="U48" s="1334" t="s">
        <v>154</v>
      </c>
      <c r="V48" s="1335"/>
      <c r="W48" s="1336"/>
      <c r="X48" s="1576">
        <f>'Plot By Plot SoA'!AD22</f>
        <v>4794.7608</v>
      </c>
      <c r="Y48" s="1577"/>
    </row>
    <row r="49" spans="1:25" ht="17.25" x14ac:dyDescent="0.35">
      <c r="A49" s="1690"/>
      <c r="B49" s="695">
        <v>44</v>
      </c>
      <c r="C49" s="695" t="s">
        <v>51</v>
      </c>
      <c r="D49" s="696" t="s">
        <v>384</v>
      </c>
      <c r="E49" s="697">
        <v>107.6</v>
      </c>
      <c r="F49" s="698">
        <f t="shared" si="3"/>
        <v>1158.1956399999999</v>
      </c>
      <c r="G49" s="695" t="s">
        <v>348</v>
      </c>
      <c r="H49" s="699">
        <v>2</v>
      </c>
      <c r="I49" s="696" t="str">
        <f>IF('Plot By Plot SoA'!P52=0,"-",'Plot By Plot SoA'!P52)</f>
        <v>-</v>
      </c>
      <c r="J49" s="695" t="s">
        <v>358</v>
      </c>
      <c r="K49" s="696" t="str">
        <f>IF('Plot By Plot SoA'!J52=0,"-",'Plot By Plot SoA'!J52)</f>
        <v>Community Amenity</v>
      </c>
      <c r="L49" s="700" t="s">
        <v>77</v>
      </c>
      <c r="P49" s="1584" t="s">
        <v>215</v>
      </c>
      <c r="Q49" s="1585"/>
      <c r="R49" s="1586">
        <f>'Plot By Plot SoA'!X23</f>
        <v>4</v>
      </c>
      <c r="S49" s="1582"/>
      <c r="T49" s="2"/>
      <c r="U49" s="1584" t="s">
        <v>63</v>
      </c>
      <c r="V49" s="1602"/>
      <c r="W49" s="1585"/>
      <c r="X49" s="1325">
        <f>'Plot By Plot SoA'!AD23</f>
        <v>10148.839199999999</v>
      </c>
      <c r="Y49" s="1327"/>
    </row>
    <row r="50" spans="1:25" ht="18" thickBot="1" x14ac:dyDescent="0.4">
      <c r="A50" s="1690"/>
      <c r="B50" s="695">
        <v>45</v>
      </c>
      <c r="C50" s="695" t="s">
        <v>342</v>
      </c>
      <c r="D50" s="696" t="s">
        <v>385</v>
      </c>
      <c r="E50" s="697">
        <v>38.5</v>
      </c>
      <c r="F50" s="698">
        <f t="shared" si="3"/>
        <v>414.41014999999999</v>
      </c>
      <c r="G50" s="695" t="s">
        <v>347</v>
      </c>
      <c r="H50" s="699">
        <v>1</v>
      </c>
      <c r="I50" s="696" t="str">
        <f>IF('Plot By Plot SoA'!P53=0,"-",'Plot By Plot SoA'!P53)</f>
        <v>-</v>
      </c>
      <c r="J50" s="695" t="s">
        <v>358</v>
      </c>
      <c r="K50" s="696" t="str">
        <f>IF('Plot By Plot SoA'!J53=0,"-",'Plot By Plot SoA'!J53)</f>
        <v>Community Amenity</v>
      </c>
      <c r="L50" s="700" t="s">
        <v>77</v>
      </c>
      <c r="P50" s="1569" t="s">
        <v>65</v>
      </c>
      <c r="Q50" s="1570"/>
      <c r="R50" s="1571">
        <f>'Plot By Plot SoA'!X24</f>
        <v>123</v>
      </c>
      <c r="S50" s="1572"/>
      <c r="T50" s="2"/>
      <c r="U50" s="1573" t="s">
        <v>155</v>
      </c>
      <c r="V50" s="1574"/>
      <c r="W50" s="1575"/>
      <c r="X50" s="1576">
        <f>'Plot By Plot SoA'!AD24</f>
        <v>3779.6633999999995</v>
      </c>
      <c r="Y50" s="1577"/>
    </row>
    <row r="51" spans="1:25" ht="18" thickBot="1" x14ac:dyDescent="0.4">
      <c r="A51" s="1690"/>
      <c r="B51" s="695">
        <v>46</v>
      </c>
      <c r="C51" s="695" t="s">
        <v>51</v>
      </c>
      <c r="D51" s="696" t="s">
        <v>386</v>
      </c>
      <c r="E51" s="697">
        <v>75.3</v>
      </c>
      <c r="F51" s="698">
        <f>SUM(E51*10.7639)</f>
        <v>810.52166999999997</v>
      </c>
      <c r="G51" s="695" t="s">
        <v>343</v>
      </c>
      <c r="H51" s="699">
        <v>2</v>
      </c>
      <c r="I51" s="696" t="str">
        <f>IF('Plot By Plot SoA'!P54=0,"-",'Plot By Plot SoA'!P54)</f>
        <v>-</v>
      </c>
      <c r="J51" s="695" t="s">
        <v>358</v>
      </c>
      <c r="K51" s="696" t="str">
        <f>IF('Plot By Plot SoA'!J54=0,"-",'Plot By Plot SoA'!J54)</f>
        <v>Community Amenity</v>
      </c>
      <c r="L51" s="700" t="s">
        <v>77</v>
      </c>
      <c r="P51" s="1346" t="s">
        <v>52</v>
      </c>
      <c r="Q51" s="1391"/>
      <c r="R51" s="1390">
        <f>SUM(R39:R50)</f>
        <v>348</v>
      </c>
      <c r="S51" s="1348"/>
      <c r="T51" s="382"/>
      <c r="U51" s="1569" t="s">
        <v>65</v>
      </c>
      <c r="V51" s="1594"/>
      <c r="W51" s="1570"/>
      <c r="X51" s="1323">
        <f>'Plot By Plot SoA'!AD25</f>
        <v>6380.917199999999</v>
      </c>
      <c r="Y51" s="1324"/>
    </row>
    <row r="52" spans="1:25" ht="18" thickBot="1" x14ac:dyDescent="0.4">
      <c r="A52" s="1690"/>
      <c r="B52" s="695">
        <v>47</v>
      </c>
      <c r="C52" s="695" t="s">
        <v>51</v>
      </c>
      <c r="D52" s="696" t="s">
        <v>386</v>
      </c>
      <c r="E52" s="697">
        <v>94.3</v>
      </c>
      <c r="F52" s="698">
        <f t="shared" si="3"/>
        <v>1015.03577</v>
      </c>
      <c r="G52" s="695" t="s">
        <v>348</v>
      </c>
      <c r="H52" s="699">
        <v>2</v>
      </c>
      <c r="I52" s="696" t="str">
        <f>IF('Plot By Plot SoA'!P55=0,"-",'Plot By Plot SoA'!P55)</f>
        <v>-</v>
      </c>
      <c r="J52" s="695" t="s">
        <v>358</v>
      </c>
      <c r="K52" s="696" t="str">
        <f>IF('Plot By Plot SoA'!J55=0,"-",'Plot By Plot SoA'!J55)</f>
        <v>Community Amenity</v>
      </c>
      <c r="L52" s="700" t="s">
        <v>77</v>
      </c>
      <c r="P52" s="2"/>
      <c r="Q52" s="2"/>
      <c r="R52" s="2"/>
      <c r="S52" s="2"/>
      <c r="T52" s="2"/>
      <c r="U52" s="1346" t="s">
        <v>52</v>
      </c>
      <c r="V52" s="1347"/>
      <c r="W52" s="1391"/>
      <c r="X52" s="1535">
        <f>SUM(X41:Y51)</f>
        <v>90888.576300000001</v>
      </c>
      <c r="Y52" s="1348"/>
    </row>
    <row r="53" spans="1:25" x14ac:dyDescent="0.35">
      <c r="A53" s="1690"/>
      <c r="B53" s="695">
        <v>48</v>
      </c>
      <c r="C53" s="695" t="s">
        <v>15</v>
      </c>
      <c r="D53" s="696" t="s">
        <v>361</v>
      </c>
      <c r="E53" s="697">
        <v>107.5</v>
      </c>
      <c r="F53" s="698">
        <f t="shared" si="3"/>
        <v>1157.11925</v>
      </c>
      <c r="G53" s="695" t="s">
        <v>345</v>
      </c>
      <c r="H53" s="699">
        <v>3</v>
      </c>
      <c r="I53" s="696" t="str">
        <f>IF('Plot By Plot SoA'!P56=0,"-",'Plot By Plot SoA'!P56)</f>
        <v>Y</v>
      </c>
      <c r="J53" s="695" t="s">
        <v>357</v>
      </c>
      <c r="K53" s="696" t="str">
        <f>IF('Plot By Plot SoA'!J56=0,"-",'Plot By Plot SoA'!J56)</f>
        <v>Roof Terrace</v>
      </c>
      <c r="L53" s="700">
        <v>277</v>
      </c>
    </row>
    <row r="54" spans="1:25" x14ac:dyDescent="0.35">
      <c r="A54" s="1690"/>
      <c r="B54" s="695">
        <v>49</v>
      </c>
      <c r="C54" s="695" t="s">
        <v>15</v>
      </c>
      <c r="D54" s="696" t="s">
        <v>362</v>
      </c>
      <c r="E54" s="697">
        <v>105.1</v>
      </c>
      <c r="F54" s="698">
        <f t="shared" si="3"/>
        <v>1131.2858899999999</v>
      </c>
      <c r="G54" s="695" t="s">
        <v>344</v>
      </c>
      <c r="H54" s="699">
        <v>3</v>
      </c>
      <c r="I54" s="696" t="str">
        <f>IF('Plot By Plot SoA'!P57=0,"-",'Plot By Plot SoA'!P57)</f>
        <v>-</v>
      </c>
      <c r="J54" s="695" t="s">
        <v>357</v>
      </c>
      <c r="K54" s="696" t="str">
        <f>IF('Plot By Plot SoA'!J57=0,"-",'Plot By Plot SoA'!J57)</f>
        <v>Roof Terrace</v>
      </c>
      <c r="L54" s="700">
        <v>186</v>
      </c>
    </row>
    <row r="55" spans="1:25" x14ac:dyDescent="0.35">
      <c r="A55" s="1690"/>
      <c r="B55" s="695">
        <v>50</v>
      </c>
      <c r="C55" s="695" t="s">
        <v>15</v>
      </c>
      <c r="D55" s="696" t="s">
        <v>362</v>
      </c>
      <c r="E55" s="697">
        <v>129</v>
      </c>
      <c r="F55" s="698">
        <f t="shared" si="3"/>
        <v>1388.5430999999999</v>
      </c>
      <c r="G55" s="695" t="s">
        <v>349</v>
      </c>
      <c r="H55" s="699">
        <v>3</v>
      </c>
      <c r="I55" s="696" t="str">
        <f>IF('Plot By Plot SoA'!P58=0,"-",'Plot By Plot SoA'!P58)</f>
        <v>-</v>
      </c>
      <c r="J55" s="695" t="s">
        <v>357</v>
      </c>
      <c r="K55" s="696" t="str">
        <f>IF('Plot By Plot SoA'!J58=0,"-",'Plot By Plot SoA'!J58)</f>
        <v>Roof Terrace</v>
      </c>
      <c r="L55" s="700">
        <v>75</v>
      </c>
    </row>
    <row r="56" spans="1:25" x14ac:dyDescent="0.35">
      <c r="A56" s="1690"/>
      <c r="B56" s="695">
        <v>51</v>
      </c>
      <c r="C56" s="695" t="s">
        <v>15</v>
      </c>
      <c r="D56" s="696" t="s">
        <v>361</v>
      </c>
      <c r="E56" s="697">
        <v>101.3</v>
      </c>
      <c r="F56" s="698">
        <f t="shared" si="3"/>
        <v>1090.3830699999999</v>
      </c>
      <c r="G56" s="695" t="s">
        <v>348</v>
      </c>
      <c r="H56" s="699">
        <v>3</v>
      </c>
      <c r="I56" s="696" t="str">
        <f>IF('Plot By Plot SoA'!P59=0,"-",'Plot By Plot SoA'!P59)</f>
        <v>-</v>
      </c>
      <c r="J56" s="695" t="s">
        <v>358</v>
      </c>
      <c r="K56" s="696" t="str">
        <f>IF('Plot By Plot SoA'!J59=0,"-",'Plot By Plot SoA'!J59)</f>
        <v>Shared Garden</v>
      </c>
      <c r="L56" s="700" t="s">
        <v>77</v>
      </c>
    </row>
    <row r="57" spans="1:25" ht="30" x14ac:dyDescent="0.35">
      <c r="A57" s="1690"/>
      <c r="B57" s="695">
        <v>52</v>
      </c>
      <c r="C57" s="695" t="s">
        <v>15</v>
      </c>
      <c r="D57" s="701" t="s">
        <v>365</v>
      </c>
      <c r="E57" s="697">
        <v>84.8</v>
      </c>
      <c r="F57" s="698">
        <f t="shared" si="3"/>
        <v>912.77871999999991</v>
      </c>
      <c r="G57" s="695" t="s">
        <v>345</v>
      </c>
      <c r="H57" s="699">
        <v>2</v>
      </c>
      <c r="I57" s="696" t="str">
        <f>IF('Plot By Plot SoA'!P60=0,"-",'Plot By Plot SoA'!P60)</f>
        <v>-</v>
      </c>
      <c r="J57" s="695" t="s">
        <v>357</v>
      </c>
      <c r="K57" s="696" t="str">
        <f>IF('Plot By Plot SoA'!J60=0,"-",'Plot By Plot SoA'!J60)</f>
        <v>Private Rear Garden</v>
      </c>
      <c r="L57" s="700">
        <v>147</v>
      </c>
    </row>
    <row r="58" spans="1:25" ht="30" x14ac:dyDescent="0.35">
      <c r="A58" s="1690"/>
      <c r="B58" s="695">
        <v>53</v>
      </c>
      <c r="C58" s="695" t="s">
        <v>15</v>
      </c>
      <c r="D58" s="701" t="s">
        <v>365</v>
      </c>
      <c r="E58" s="697">
        <v>127.7</v>
      </c>
      <c r="F58" s="698">
        <f t="shared" si="3"/>
        <v>1374.5500299999999</v>
      </c>
      <c r="G58" s="695" t="s">
        <v>346</v>
      </c>
      <c r="H58" s="699">
        <v>3</v>
      </c>
      <c r="I58" s="696" t="str">
        <f>IF('Plot By Plot SoA'!P61=0,"-",'Plot By Plot SoA'!P61)</f>
        <v>-</v>
      </c>
      <c r="J58" s="695" t="s">
        <v>357</v>
      </c>
      <c r="K58" s="696" t="str">
        <f>IF('Plot By Plot SoA'!J61=0,"-",'Plot By Plot SoA'!J61)</f>
        <v>Private Rear Garden</v>
      </c>
      <c r="L58" s="700">
        <v>257</v>
      </c>
    </row>
    <row r="59" spans="1:25" ht="30" x14ac:dyDescent="0.35">
      <c r="A59" s="1690"/>
      <c r="B59" s="695">
        <v>54</v>
      </c>
      <c r="C59" s="695" t="s">
        <v>15</v>
      </c>
      <c r="D59" s="701" t="s">
        <v>365</v>
      </c>
      <c r="E59" s="697">
        <v>109.2</v>
      </c>
      <c r="F59" s="698">
        <f t="shared" si="3"/>
        <v>1175.41788</v>
      </c>
      <c r="G59" s="695" t="s">
        <v>350</v>
      </c>
      <c r="H59" s="699">
        <v>3</v>
      </c>
      <c r="I59" s="696" t="str">
        <f>IF('Plot By Plot SoA'!P62=0,"-",'Plot By Plot SoA'!P62)</f>
        <v>-</v>
      </c>
      <c r="J59" s="695" t="s">
        <v>357</v>
      </c>
      <c r="K59" s="696" t="str">
        <f>IF('Plot By Plot SoA'!J62=0,"-",'Plot By Plot SoA'!J62)</f>
        <v>Private Rear Garden</v>
      </c>
      <c r="L59" s="700">
        <v>551</v>
      </c>
    </row>
    <row r="60" spans="1:25" ht="30" x14ac:dyDescent="0.35">
      <c r="A60" s="1690"/>
      <c r="B60" s="695">
        <v>55</v>
      </c>
      <c r="C60" s="695" t="s">
        <v>15</v>
      </c>
      <c r="D60" s="701" t="s">
        <v>365</v>
      </c>
      <c r="E60" s="697">
        <v>100.8</v>
      </c>
      <c r="F60" s="698">
        <f t="shared" si="3"/>
        <v>1085.0011199999999</v>
      </c>
      <c r="G60" s="695" t="s">
        <v>348</v>
      </c>
      <c r="H60" s="699">
        <v>3</v>
      </c>
      <c r="I60" s="696" t="str">
        <f>IF('Plot By Plot SoA'!P63=0,"-",'Plot By Plot SoA'!P63)</f>
        <v>Y</v>
      </c>
      <c r="J60" s="695" t="s">
        <v>358</v>
      </c>
      <c r="K60" s="696" t="str">
        <f>IF('Plot By Plot SoA'!J63=0,"-",'Plot By Plot SoA'!J63)</f>
        <v>Roof Terrace</v>
      </c>
      <c r="L60" s="700">
        <v>284</v>
      </c>
    </row>
    <row r="61" spans="1:25" x14ac:dyDescent="0.35">
      <c r="A61" s="1690"/>
      <c r="B61" s="695">
        <v>56</v>
      </c>
      <c r="C61" s="695" t="s">
        <v>15</v>
      </c>
      <c r="D61" s="696" t="s">
        <v>361</v>
      </c>
      <c r="E61" s="697">
        <v>97.1</v>
      </c>
      <c r="F61" s="698">
        <f t="shared" si="3"/>
        <v>1045.1746899999998</v>
      </c>
      <c r="G61" s="695" t="s">
        <v>344</v>
      </c>
      <c r="H61" s="699">
        <v>3</v>
      </c>
      <c r="I61" s="696" t="str">
        <f>IF('Plot By Plot SoA'!P64=0,"-",'Plot By Plot SoA'!P64)</f>
        <v>-</v>
      </c>
      <c r="J61" s="695" t="s">
        <v>358</v>
      </c>
      <c r="K61" s="696" t="str">
        <f>IF('Plot By Plot SoA'!J64=0,"-",'Plot By Plot SoA'!J64)</f>
        <v>Roof Terrace</v>
      </c>
      <c r="L61" s="700">
        <v>304</v>
      </c>
    </row>
    <row r="62" spans="1:25" x14ac:dyDescent="0.35">
      <c r="A62" s="1690"/>
      <c r="B62" s="695">
        <v>57</v>
      </c>
      <c r="C62" s="695" t="s">
        <v>15</v>
      </c>
      <c r="D62" s="696" t="s">
        <v>362</v>
      </c>
      <c r="E62" s="697">
        <v>97.1</v>
      </c>
      <c r="F62" s="698">
        <f t="shared" si="3"/>
        <v>1045.1746899999998</v>
      </c>
      <c r="G62" s="695" t="s">
        <v>344</v>
      </c>
      <c r="H62" s="699">
        <v>3</v>
      </c>
      <c r="I62" s="696" t="str">
        <f>IF('Plot By Plot SoA'!P65=0,"-",'Plot By Plot SoA'!P65)</f>
        <v>-</v>
      </c>
      <c r="J62" s="695" t="s">
        <v>358</v>
      </c>
      <c r="K62" s="696" t="str">
        <f>IF('Plot By Plot SoA'!J65=0,"-",'Plot By Plot SoA'!J65)</f>
        <v>Roof Terrace</v>
      </c>
      <c r="L62" s="700">
        <v>79</v>
      </c>
    </row>
    <row r="63" spans="1:25" x14ac:dyDescent="0.35">
      <c r="A63" s="1690"/>
      <c r="B63" s="695">
        <v>58</v>
      </c>
      <c r="C63" s="695" t="s">
        <v>51</v>
      </c>
      <c r="D63" s="696" t="s">
        <v>368</v>
      </c>
      <c r="E63" s="697">
        <v>105.6</v>
      </c>
      <c r="F63" s="698">
        <f t="shared" si="3"/>
        <v>1136.6678399999998</v>
      </c>
      <c r="G63" s="695" t="s">
        <v>348</v>
      </c>
      <c r="H63" s="699">
        <v>2</v>
      </c>
      <c r="I63" s="696" t="str">
        <f>IF('Plot By Plot SoA'!P66=0,"-",'Plot By Plot SoA'!P66)</f>
        <v>-</v>
      </c>
      <c r="J63" s="695" t="s">
        <v>358</v>
      </c>
      <c r="K63" s="696" t="str">
        <f>IF('Plot By Plot SoA'!J66=0,"-",'Plot By Plot SoA'!J66)</f>
        <v>Community Amenity</v>
      </c>
      <c r="L63" s="700" t="s">
        <v>77</v>
      </c>
    </row>
    <row r="64" spans="1:25" x14ac:dyDescent="0.35">
      <c r="A64" s="1690"/>
      <c r="B64" s="695">
        <v>59</v>
      </c>
      <c r="C64" s="695" t="s">
        <v>51</v>
      </c>
      <c r="D64" s="696" t="s">
        <v>368</v>
      </c>
      <c r="E64" s="697">
        <v>96</v>
      </c>
      <c r="F64" s="698">
        <f t="shared" si="3"/>
        <v>1033.3344</v>
      </c>
      <c r="G64" s="695" t="s">
        <v>348</v>
      </c>
      <c r="H64" s="699">
        <v>2</v>
      </c>
      <c r="I64" s="696" t="str">
        <f>IF('Plot By Plot SoA'!P67=0,"-",'Plot By Plot SoA'!P67)</f>
        <v>-</v>
      </c>
      <c r="J64" s="695" t="s">
        <v>358</v>
      </c>
      <c r="K64" s="696" t="str">
        <f>IF('Plot By Plot SoA'!J67=0,"-",'Plot By Plot SoA'!J67)</f>
        <v>Community Amenity</v>
      </c>
      <c r="L64" s="700" t="s">
        <v>77</v>
      </c>
    </row>
    <row r="65" spans="1:12" x14ac:dyDescent="0.35">
      <c r="A65" s="1690"/>
      <c r="B65" s="695">
        <v>60</v>
      </c>
      <c r="C65" s="695" t="s">
        <v>15</v>
      </c>
      <c r="D65" s="696" t="s">
        <v>362</v>
      </c>
      <c r="E65" s="697">
        <v>106</v>
      </c>
      <c r="F65" s="698">
        <f t="shared" si="3"/>
        <v>1140.9733999999999</v>
      </c>
      <c r="G65" s="695" t="s">
        <v>345</v>
      </c>
      <c r="H65" s="699">
        <v>4</v>
      </c>
      <c r="I65" s="696" t="str">
        <f>IF('Plot By Plot SoA'!P68=0,"-",'Plot By Plot SoA'!P68)</f>
        <v>-</v>
      </c>
      <c r="J65" s="695" t="s">
        <v>358</v>
      </c>
      <c r="K65" s="696" t="str">
        <f>IF('Plot By Plot SoA'!J68=0,"-",'Plot By Plot SoA'!J68)</f>
        <v>Frontage Amenity</v>
      </c>
      <c r="L65" s="700">
        <v>123</v>
      </c>
    </row>
    <row r="66" spans="1:12" x14ac:dyDescent="0.35">
      <c r="A66" s="1690"/>
      <c r="B66" s="695">
        <v>61</v>
      </c>
      <c r="C66" s="695" t="s">
        <v>51</v>
      </c>
      <c r="D66" s="696" t="s">
        <v>368</v>
      </c>
      <c r="E66" s="697">
        <v>96.7</v>
      </c>
      <c r="F66" s="698">
        <f t="shared" si="3"/>
        <v>1040.86913</v>
      </c>
      <c r="G66" s="695" t="s">
        <v>344</v>
      </c>
      <c r="H66" s="699">
        <v>2</v>
      </c>
      <c r="I66" s="696" t="str">
        <f>IF('Plot By Plot SoA'!P69=0,"-",'Plot By Plot SoA'!P69)</f>
        <v>-</v>
      </c>
      <c r="J66" s="695" t="s">
        <v>357</v>
      </c>
      <c r="K66" s="696" t="str">
        <f>IF('Plot By Plot SoA'!J69=0,"-",'Plot By Plot SoA'!J69)</f>
        <v>Community Amenity</v>
      </c>
      <c r="L66" s="700" t="s">
        <v>77</v>
      </c>
    </row>
    <row r="67" spans="1:12" x14ac:dyDescent="0.35">
      <c r="A67" s="1690"/>
      <c r="B67" s="695">
        <v>62</v>
      </c>
      <c r="C67" s="695" t="s">
        <v>51</v>
      </c>
      <c r="D67" s="696" t="s">
        <v>368</v>
      </c>
      <c r="E67" s="697">
        <v>104.8</v>
      </c>
      <c r="F67" s="698">
        <f t="shared" si="3"/>
        <v>1128.0567199999998</v>
      </c>
      <c r="G67" s="695" t="s">
        <v>344</v>
      </c>
      <c r="H67" s="699">
        <v>2</v>
      </c>
      <c r="I67" s="696" t="str">
        <f>IF('Plot By Plot SoA'!P70=0,"-",'Plot By Plot SoA'!P70)</f>
        <v>-</v>
      </c>
      <c r="J67" s="695" t="s">
        <v>357</v>
      </c>
      <c r="K67" s="696" t="str">
        <f>IF('Plot By Plot SoA'!J70=0,"-",'Plot By Plot SoA'!J70)</f>
        <v>Community Amenity</v>
      </c>
      <c r="L67" s="700" t="s">
        <v>77</v>
      </c>
    </row>
    <row r="68" spans="1:12" x14ac:dyDescent="0.35">
      <c r="A68" s="1690"/>
      <c r="B68" s="695">
        <v>63</v>
      </c>
      <c r="C68" s="695" t="s">
        <v>15</v>
      </c>
      <c r="D68" s="696" t="s">
        <v>362</v>
      </c>
      <c r="E68" s="702">
        <v>86</v>
      </c>
      <c r="F68" s="703">
        <f t="shared" si="3"/>
        <v>925.69539999999995</v>
      </c>
      <c r="G68" s="695" t="s">
        <v>345</v>
      </c>
      <c r="H68" s="699">
        <v>4</v>
      </c>
      <c r="I68" s="696" t="str">
        <f>IF('Plot By Plot SoA'!P71=0,"-",'Plot By Plot SoA'!P71)</f>
        <v>-</v>
      </c>
      <c r="J68" s="695" t="s">
        <v>358</v>
      </c>
      <c r="K68" s="696" t="str">
        <f>IF('Plot By Plot SoA'!J71=0,"-",'Plot By Plot SoA'!J71)</f>
        <v>Frontage Amenity</v>
      </c>
      <c r="L68" s="700">
        <v>81</v>
      </c>
    </row>
    <row r="69" spans="1:12" x14ac:dyDescent="0.35">
      <c r="A69" s="1690"/>
      <c r="B69" s="695">
        <v>64</v>
      </c>
      <c r="C69" s="695" t="s">
        <v>15</v>
      </c>
      <c r="D69" s="696" t="s">
        <v>362</v>
      </c>
      <c r="E69" s="697">
        <v>97.1</v>
      </c>
      <c r="F69" s="698">
        <f t="shared" si="3"/>
        <v>1045.1746899999998</v>
      </c>
      <c r="G69" s="695" t="s">
        <v>344</v>
      </c>
      <c r="H69" s="699">
        <v>3</v>
      </c>
      <c r="I69" s="696" t="str">
        <f>IF('Plot By Plot SoA'!P73=0,"-",'Plot By Plot SoA'!P73)</f>
        <v>-</v>
      </c>
      <c r="J69" s="695" t="s">
        <v>357</v>
      </c>
      <c r="K69" s="696" t="str">
        <f>IF('Plot By Plot SoA'!J73=0,"-",'Plot By Plot SoA'!J73)</f>
        <v>Roof Terrace</v>
      </c>
      <c r="L69" s="700">
        <v>79</v>
      </c>
    </row>
    <row r="70" spans="1:12" x14ac:dyDescent="0.35">
      <c r="A70" s="1690"/>
      <c r="B70" s="695">
        <v>65</v>
      </c>
      <c r="C70" s="695" t="s">
        <v>15</v>
      </c>
      <c r="D70" s="696" t="s">
        <v>361</v>
      </c>
      <c r="E70" s="697">
        <v>97.1</v>
      </c>
      <c r="F70" s="698">
        <f t="shared" si="3"/>
        <v>1045.1746899999998</v>
      </c>
      <c r="G70" s="695" t="s">
        <v>344</v>
      </c>
      <c r="H70" s="699">
        <v>3</v>
      </c>
      <c r="I70" s="696" t="str">
        <f>IF('Plot By Plot SoA'!P74=0,"-",'Plot By Plot SoA'!P74)</f>
        <v>-</v>
      </c>
      <c r="J70" s="695" t="s">
        <v>357</v>
      </c>
      <c r="K70" s="696" t="str">
        <f>IF('Plot By Plot SoA'!J74=0,"-",'Plot By Plot SoA'!J74)</f>
        <v>Roof Terrace</v>
      </c>
      <c r="L70" s="700">
        <v>231</v>
      </c>
    </row>
    <row r="71" spans="1:12" ht="30" x14ac:dyDescent="0.35">
      <c r="A71" s="1690"/>
      <c r="B71" s="695">
        <v>66</v>
      </c>
      <c r="C71" s="695" t="s">
        <v>15</v>
      </c>
      <c r="D71" s="701" t="s">
        <v>365</v>
      </c>
      <c r="E71" s="697">
        <v>130</v>
      </c>
      <c r="F71" s="698">
        <f t="shared" si="3"/>
        <v>1399.307</v>
      </c>
      <c r="G71" s="695" t="s">
        <v>346</v>
      </c>
      <c r="H71" s="699">
        <v>3</v>
      </c>
      <c r="I71" s="696" t="str">
        <f>IF('Plot By Plot SoA'!P75=0,"-",'Plot By Plot SoA'!P75)</f>
        <v>Y</v>
      </c>
      <c r="J71" s="695" t="s">
        <v>357</v>
      </c>
      <c r="K71" s="696" t="str">
        <f>IF('Plot By Plot SoA'!J75=0,"-",'Plot By Plot SoA'!J75)</f>
        <v>Private Front Garden</v>
      </c>
      <c r="L71" s="700">
        <v>350</v>
      </c>
    </row>
    <row r="72" spans="1:12" x14ac:dyDescent="0.35">
      <c r="A72" s="1690"/>
      <c r="B72" s="695">
        <v>67</v>
      </c>
      <c r="C72" s="695" t="s">
        <v>15</v>
      </c>
      <c r="D72" s="696" t="s">
        <v>362</v>
      </c>
      <c r="E72" s="697">
        <v>84.2</v>
      </c>
      <c r="F72" s="698">
        <f t="shared" si="3"/>
        <v>906.32038</v>
      </c>
      <c r="G72" s="695" t="s">
        <v>348</v>
      </c>
      <c r="H72" s="699">
        <v>2</v>
      </c>
      <c r="I72" s="696" t="str">
        <f>IF('Plot By Plot SoA'!P76=0,"-",'Plot By Plot SoA'!P76)</f>
        <v>-</v>
      </c>
      <c r="J72" s="695" t="s">
        <v>358</v>
      </c>
      <c r="K72" s="696" t="str">
        <f>IF('Plot By Plot SoA'!J76=0,"-",'Plot By Plot SoA'!J76)</f>
        <v>Private Rear Garden</v>
      </c>
      <c r="L72" s="700">
        <v>128</v>
      </c>
    </row>
    <row r="73" spans="1:12" ht="30" x14ac:dyDescent="0.35">
      <c r="A73" s="1690"/>
      <c r="B73" s="695">
        <v>68</v>
      </c>
      <c r="C73" s="695" t="s">
        <v>15</v>
      </c>
      <c r="D73" s="701" t="s">
        <v>365</v>
      </c>
      <c r="E73" s="702">
        <v>92.4</v>
      </c>
      <c r="F73" s="703">
        <f t="shared" si="3"/>
        <v>994.58436000000006</v>
      </c>
      <c r="G73" s="695" t="s">
        <v>344</v>
      </c>
      <c r="H73" s="699">
        <v>3</v>
      </c>
      <c r="I73" s="696" t="str">
        <f>IF('Plot By Plot SoA'!P77=0,"-",'Plot By Plot SoA'!P77)</f>
        <v>Y</v>
      </c>
      <c r="J73" s="695" t="s">
        <v>358</v>
      </c>
      <c r="K73" s="696" t="str">
        <f>IF('Plot By Plot SoA'!J77=0,"-",'Plot By Plot SoA'!J77)</f>
        <v>Roof Terrace</v>
      </c>
      <c r="L73" s="700">
        <v>381</v>
      </c>
    </row>
    <row r="74" spans="1:12" ht="30" x14ac:dyDescent="0.35">
      <c r="A74" s="1690"/>
      <c r="B74" s="695">
        <v>69</v>
      </c>
      <c r="C74" s="695" t="s">
        <v>15</v>
      </c>
      <c r="D74" s="701" t="s">
        <v>365</v>
      </c>
      <c r="E74" s="702">
        <v>92.4</v>
      </c>
      <c r="F74" s="703">
        <f t="shared" si="3"/>
        <v>994.58436000000006</v>
      </c>
      <c r="G74" s="695" t="s">
        <v>344</v>
      </c>
      <c r="H74" s="699">
        <v>3</v>
      </c>
      <c r="I74" s="696" t="str">
        <f>IF('Plot By Plot SoA'!P79=0,"-",'Plot By Plot SoA'!P79)</f>
        <v>Y</v>
      </c>
      <c r="J74" s="695" t="s">
        <v>357</v>
      </c>
      <c r="K74" s="696" t="str">
        <f>IF('Plot By Plot SoA'!J79=0,"-",'Plot By Plot SoA'!J79)</f>
        <v>Roof Terrace</v>
      </c>
      <c r="L74" s="700">
        <v>381</v>
      </c>
    </row>
    <row r="75" spans="1:12" x14ac:dyDescent="0.35">
      <c r="A75" s="1690"/>
      <c r="B75" s="695">
        <v>70</v>
      </c>
      <c r="C75" s="695" t="s">
        <v>15</v>
      </c>
      <c r="D75" s="696" t="s">
        <v>361</v>
      </c>
      <c r="E75" s="702">
        <v>94.6</v>
      </c>
      <c r="F75" s="703">
        <f>SUM(E75*10.7639)</f>
        <v>1018.2649399999999</v>
      </c>
      <c r="G75" s="695" t="s">
        <v>348</v>
      </c>
      <c r="H75" s="699">
        <v>3</v>
      </c>
      <c r="I75" s="696" t="str">
        <f>IF('Plot By Plot SoA'!P81=0,"-",'Plot By Plot SoA'!P81)</f>
        <v>-</v>
      </c>
      <c r="J75" s="695" t="s">
        <v>357</v>
      </c>
      <c r="K75" s="696" t="str">
        <f>IF('Plot By Plot SoA'!J81=0,"-",'Plot By Plot SoA'!J81)</f>
        <v>Private Front Garden</v>
      </c>
      <c r="L75" s="700">
        <v>485</v>
      </c>
    </row>
    <row r="76" spans="1:12" x14ac:dyDescent="0.35">
      <c r="A76" s="1690"/>
      <c r="B76" s="695">
        <v>71</v>
      </c>
      <c r="C76" s="695" t="s">
        <v>15</v>
      </c>
      <c r="D76" s="696" t="s">
        <v>362</v>
      </c>
      <c r="E76" s="697">
        <v>113.8</v>
      </c>
      <c r="F76" s="698">
        <f t="shared" ref="F76:F83" si="5">SUM(E76*10.7639)</f>
        <v>1224.93182</v>
      </c>
      <c r="G76" s="695" t="s">
        <v>348</v>
      </c>
      <c r="H76" s="699">
        <v>3</v>
      </c>
      <c r="I76" s="696" t="str">
        <f>IF('Plot By Plot SoA'!P84=0,"-",'Plot By Plot SoA'!P84)</f>
        <v>Y</v>
      </c>
      <c r="J76" s="695" t="s">
        <v>357</v>
      </c>
      <c r="K76" s="696" t="str">
        <f>IF('Plot By Plot SoA'!J84=0,"-",'Plot By Plot SoA'!J84)</f>
        <v>Community Amenity</v>
      </c>
      <c r="L76" s="700" t="s">
        <v>77</v>
      </c>
    </row>
    <row r="77" spans="1:12" x14ac:dyDescent="0.35">
      <c r="A77" s="1690"/>
      <c r="B77" s="695">
        <v>72</v>
      </c>
      <c r="C77" s="695" t="s">
        <v>15</v>
      </c>
      <c r="D77" s="696" t="s">
        <v>361</v>
      </c>
      <c r="E77" s="697">
        <v>130</v>
      </c>
      <c r="F77" s="698">
        <f t="shared" si="5"/>
        <v>1399.307</v>
      </c>
      <c r="G77" s="695" t="s">
        <v>346</v>
      </c>
      <c r="H77" s="699">
        <v>3</v>
      </c>
      <c r="I77" s="696" t="str">
        <f>IF('Plot By Plot SoA'!P85=0,"-",'Plot By Plot SoA'!P85)</f>
        <v>Y</v>
      </c>
      <c r="J77" s="695" t="s">
        <v>357</v>
      </c>
      <c r="K77" s="696" t="str">
        <f>IF('Plot By Plot SoA'!J85=0,"-",'Plot By Plot SoA'!J85)</f>
        <v>Private Front Garden</v>
      </c>
      <c r="L77" s="700">
        <v>274</v>
      </c>
    </row>
    <row r="78" spans="1:12" x14ac:dyDescent="0.35">
      <c r="A78" s="1690"/>
      <c r="B78" s="695">
        <v>73</v>
      </c>
      <c r="C78" s="695" t="s">
        <v>51</v>
      </c>
      <c r="D78" s="696" t="s">
        <v>368</v>
      </c>
      <c r="E78" s="697">
        <v>54.1</v>
      </c>
      <c r="F78" s="698">
        <f t="shared" si="5"/>
        <v>582.32699000000002</v>
      </c>
      <c r="G78" s="695" t="s">
        <v>347</v>
      </c>
      <c r="H78" s="699">
        <v>2</v>
      </c>
      <c r="I78" s="696" t="str">
        <f>IF('Plot By Plot SoA'!P86=0,"-",'Plot By Plot SoA'!P86)</f>
        <v>-</v>
      </c>
      <c r="J78" s="695" t="s">
        <v>358</v>
      </c>
      <c r="K78" s="696" t="str">
        <f>IF('Plot By Plot SoA'!J86=0,"-",'Plot By Plot SoA'!J86)</f>
        <v>Frontage Amenity</v>
      </c>
      <c r="L78" s="700">
        <v>176</v>
      </c>
    </row>
    <row r="79" spans="1:12" x14ac:dyDescent="0.35">
      <c r="A79" s="1690"/>
      <c r="B79" s="695">
        <v>74</v>
      </c>
      <c r="C79" s="695" t="s">
        <v>51</v>
      </c>
      <c r="D79" s="696" t="s">
        <v>368</v>
      </c>
      <c r="E79" s="697">
        <v>82.4</v>
      </c>
      <c r="F79" s="698">
        <f t="shared" si="5"/>
        <v>886.94536000000005</v>
      </c>
      <c r="G79" s="695" t="s">
        <v>345</v>
      </c>
      <c r="H79" s="699">
        <v>2</v>
      </c>
      <c r="I79" s="696" t="str">
        <f>IF('Plot By Plot SoA'!P87=0,"-",'Plot By Plot SoA'!P87)</f>
        <v>-</v>
      </c>
      <c r="J79" s="695" t="s">
        <v>358</v>
      </c>
      <c r="K79" s="696" t="str">
        <f>IF('Plot By Plot SoA'!J87=0,"-",'Plot By Plot SoA'!J87)</f>
        <v>Frontage Amenity</v>
      </c>
      <c r="L79" s="700" t="s">
        <v>77</v>
      </c>
    </row>
    <row r="80" spans="1:12" x14ac:dyDescent="0.35">
      <c r="A80" s="1690"/>
      <c r="B80" s="695">
        <v>75</v>
      </c>
      <c r="C80" s="695" t="s">
        <v>51</v>
      </c>
      <c r="D80" s="696" t="s">
        <v>369</v>
      </c>
      <c r="E80" s="697">
        <v>54.1</v>
      </c>
      <c r="F80" s="698">
        <f t="shared" si="5"/>
        <v>582.32699000000002</v>
      </c>
      <c r="G80" s="695" t="s">
        <v>347</v>
      </c>
      <c r="H80" s="699">
        <v>2</v>
      </c>
      <c r="I80" s="696" t="str">
        <f>IF('Plot By Plot SoA'!P88=0,"-",'Plot By Plot SoA'!P88)</f>
        <v>-</v>
      </c>
      <c r="J80" s="695" t="s">
        <v>358</v>
      </c>
      <c r="K80" s="696" t="str">
        <f>IF('Plot By Plot SoA'!J88=0,"-",'Plot By Plot SoA'!J88)</f>
        <v>Community Amenity</v>
      </c>
      <c r="L80" s="700" t="s">
        <v>77</v>
      </c>
    </row>
    <row r="81" spans="1:12" x14ac:dyDescent="0.35">
      <c r="A81" s="1690"/>
      <c r="B81" s="695">
        <v>76</v>
      </c>
      <c r="C81" s="695" t="s">
        <v>51</v>
      </c>
      <c r="D81" s="696" t="s">
        <v>369</v>
      </c>
      <c r="E81" s="697">
        <v>93.3</v>
      </c>
      <c r="F81" s="698">
        <f t="shared" si="5"/>
        <v>1004.2718699999999</v>
      </c>
      <c r="G81" s="695" t="s">
        <v>348</v>
      </c>
      <c r="H81" s="699">
        <v>2</v>
      </c>
      <c r="I81" s="696" t="str">
        <f>IF('Plot By Plot SoA'!P89=0,"-",'Plot By Plot SoA'!P89)</f>
        <v>-</v>
      </c>
      <c r="J81" s="695" t="s">
        <v>358</v>
      </c>
      <c r="K81" s="696" t="str">
        <f>IF('Plot By Plot SoA'!J89=0,"-",'Plot By Plot SoA'!J89)</f>
        <v>Community Amenity</v>
      </c>
      <c r="L81" s="700" t="s">
        <v>77</v>
      </c>
    </row>
    <row r="82" spans="1:12" x14ac:dyDescent="0.35">
      <c r="A82" s="1690"/>
      <c r="B82" s="695">
        <v>77</v>
      </c>
      <c r="C82" s="695" t="s">
        <v>51</v>
      </c>
      <c r="D82" s="696" t="s">
        <v>369</v>
      </c>
      <c r="E82" s="697">
        <v>72.7</v>
      </c>
      <c r="F82" s="698">
        <f t="shared" si="5"/>
        <v>782.53552999999999</v>
      </c>
      <c r="G82" s="695" t="s">
        <v>343</v>
      </c>
      <c r="H82" s="699">
        <v>2</v>
      </c>
      <c r="I82" s="696" t="str">
        <f>IF('Plot By Plot SoA'!P90=0,"-",'Plot By Plot SoA'!P90)</f>
        <v>-</v>
      </c>
      <c r="J82" s="695" t="s">
        <v>358</v>
      </c>
      <c r="K82" s="696" t="str">
        <f>IF('Plot By Plot SoA'!J90=0,"-",'Plot By Plot SoA'!J90)</f>
        <v>Community Amenity</v>
      </c>
      <c r="L82" s="700" t="s">
        <v>77</v>
      </c>
    </row>
    <row r="83" spans="1:12" x14ac:dyDescent="0.35">
      <c r="A83" s="1690"/>
      <c r="B83" s="695">
        <v>78</v>
      </c>
      <c r="C83" s="695" t="s">
        <v>51</v>
      </c>
      <c r="D83" s="696" t="s">
        <v>369</v>
      </c>
      <c r="E83" s="697">
        <v>78.599999999999994</v>
      </c>
      <c r="F83" s="698">
        <f t="shared" si="5"/>
        <v>846.04253999999992</v>
      </c>
      <c r="G83" s="695" t="s">
        <v>343</v>
      </c>
      <c r="H83" s="699">
        <v>2</v>
      </c>
      <c r="I83" s="696" t="str">
        <f>IF('Plot By Plot SoA'!P91=0,"-",'Plot By Plot SoA'!P91)</f>
        <v>Y</v>
      </c>
      <c r="J83" s="695" t="s">
        <v>358</v>
      </c>
      <c r="K83" s="696" t="str">
        <f>IF('Plot By Plot SoA'!J91=0,"-",'Plot By Plot SoA'!J91)</f>
        <v>Community Amenity</v>
      </c>
      <c r="L83" s="700" t="s">
        <v>77</v>
      </c>
    </row>
    <row r="84" spans="1:12" x14ac:dyDescent="0.35">
      <c r="A84" s="1690"/>
      <c r="B84" s="695">
        <v>79</v>
      </c>
      <c r="C84" s="695" t="s">
        <v>51</v>
      </c>
      <c r="D84" s="696" t="s">
        <v>369</v>
      </c>
      <c r="E84" s="697">
        <v>84.7</v>
      </c>
      <c r="F84" s="698">
        <f>SUM(E84*10.7639)</f>
        <v>911.70232999999996</v>
      </c>
      <c r="G84" s="695" t="s">
        <v>344</v>
      </c>
      <c r="H84" s="699">
        <v>2</v>
      </c>
      <c r="I84" s="696" t="str">
        <f>IF('Plot By Plot SoA'!P92=0,"-",'Plot By Plot SoA'!P92)</f>
        <v>-</v>
      </c>
      <c r="J84" s="695" t="s">
        <v>358</v>
      </c>
      <c r="K84" s="696" t="str">
        <f>IF('Plot By Plot SoA'!J92=0,"-",'Plot By Plot SoA'!J92)</f>
        <v>Community Amenity</v>
      </c>
      <c r="L84" s="700" t="s">
        <v>77</v>
      </c>
    </row>
    <row r="85" spans="1:12" x14ac:dyDescent="0.35">
      <c r="A85" s="1690"/>
      <c r="B85" s="695">
        <v>80</v>
      </c>
      <c r="C85" s="695" t="s">
        <v>51</v>
      </c>
      <c r="D85" s="696" t="s">
        <v>369</v>
      </c>
      <c r="E85" s="697">
        <v>84.7</v>
      </c>
      <c r="F85" s="698">
        <f>SUM(E85*10.7639)</f>
        <v>911.70232999999996</v>
      </c>
      <c r="G85" s="695" t="s">
        <v>344</v>
      </c>
      <c r="H85" s="699">
        <v>2</v>
      </c>
      <c r="I85" s="696" t="str">
        <f>IF('Plot By Plot SoA'!P93=0,"-",'Plot By Plot SoA'!P93)</f>
        <v>-</v>
      </c>
      <c r="J85" s="695" t="s">
        <v>358</v>
      </c>
      <c r="K85" s="696" t="str">
        <f>IF('Plot By Plot SoA'!J93=0,"-",'Plot By Plot SoA'!J93)</f>
        <v>Community Amenity</v>
      </c>
      <c r="L85" s="700" t="s">
        <v>77</v>
      </c>
    </row>
    <row r="86" spans="1:12" x14ac:dyDescent="0.35">
      <c r="A86" s="1690"/>
      <c r="B86" s="695">
        <v>81</v>
      </c>
      <c r="C86" s="695" t="s">
        <v>51</v>
      </c>
      <c r="D86" s="696" t="s">
        <v>368</v>
      </c>
      <c r="E86" s="697">
        <v>49.3</v>
      </c>
      <c r="F86" s="698">
        <f t="shared" ref="F86:F121" si="6">SUM(E86*10.7639)</f>
        <v>530.66026999999997</v>
      </c>
      <c r="G86" s="695" t="s">
        <v>347</v>
      </c>
      <c r="H86" s="699">
        <v>2</v>
      </c>
      <c r="I86" s="696" t="str">
        <f>IF('Plot By Plot SoA'!P94=0,"-",'Plot By Plot SoA'!P94)</f>
        <v>-</v>
      </c>
      <c r="J86" s="695" t="s">
        <v>358</v>
      </c>
      <c r="K86" s="696" t="str">
        <f>IF('Plot By Plot SoA'!J94=0,"-",'Plot By Plot SoA'!J94)</f>
        <v>Community Amenity</v>
      </c>
      <c r="L86" s="700" t="s">
        <v>77</v>
      </c>
    </row>
    <row r="87" spans="1:12" x14ac:dyDescent="0.35">
      <c r="A87" s="1690"/>
      <c r="B87" s="695">
        <v>82</v>
      </c>
      <c r="C87" s="695" t="s">
        <v>51</v>
      </c>
      <c r="D87" s="696" t="s">
        <v>368</v>
      </c>
      <c r="E87" s="697">
        <v>72.7</v>
      </c>
      <c r="F87" s="698">
        <f t="shared" si="6"/>
        <v>782.53552999999999</v>
      </c>
      <c r="G87" s="695" t="s">
        <v>343</v>
      </c>
      <c r="H87" s="699">
        <v>2</v>
      </c>
      <c r="I87" s="696" t="str">
        <f>IF('Plot By Plot SoA'!P95=0,"-",'Plot By Plot SoA'!P95)</f>
        <v>-</v>
      </c>
      <c r="J87" s="695" t="s">
        <v>358</v>
      </c>
      <c r="K87" s="696" t="str">
        <f>IF('Plot By Plot SoA'!J95=0,"-",'Plot By Plot SoA'!J95)</f>
        <v>Frontage Amenity</v>
      </c>
      <c r="L87" s="700">
        <v>70</v>
      </c>
    </row>
    <row r="88" spans="1:12" x14ac:dyDescent="0.35">
      <c r="A88" s="1690"/>
      <c r="B88" s="695">
        <v>83</v>
      </c>
      <c r="C88" s="695" t="s">
        <v>15</v>
      </c>
      <c r="D88" s="696" t="s">
        <v>362</v>
      </c>
      <c r="E88" s="697">
        <v>78</v>
      </c>
      <c r="F88" s="698">
        <f t="shared" si="6"/>
        <v>839.58420000000001</v>
      </c>
      <c r="G88" s="695" t="s">
        <v>345</v>
      </c>
      <c r="H88" s="699">
        <v>2</v>
      </c>
      <c r="I88" s="696" t="str">
        <f>IF('Plot By Plot SoA'!P96=0,"-",'Plot By Plot SoA'!P96)</f>
        <v>-</v>
      </c>
      <c r="J88" s="695" t="s">
        <v>358</v>
      </c>
      <c r="K88" s="696" t="str">
        <f>IF('Plot By Plot SoA'!J96=0,"-",'Plot By Plot SoA'!J96)</f>
        <v>Frontage Amenity</v>
      </c>
      <c r="L88" s="700">
        <v>70</v>
      </c>
    </row>
    <row r="89" spans="1:12" x14ac:dyDescent="0.35">
      <c r="A89" s="1690"/>
      <c r="B89" s="695">
        <v>84</v>
      </c>
      <c r="C89" s="695" t="s">
        <v>15</v>
      </c>
      <c r="D89" s="696" t="s">
        <v>362</v>
      </c>
      <c r="E89" s="697">
        <v>90.2</v>
      </c>
      <c r="F89" s="698">
        <f t="shared" si="6"/>
        <v>970.90377999999998</v>
      </c>
      <c r="G89" s="695" t="s">
        <v>345</v>
      </c>
      <c r="H89" s="699">
        <v>2</v>
      </c>
      <c r="I89" s="696" t="str">
        <f>IF('Plot By Plot SoA'!P97=0,"-",'Plot By Plot SoA'!P97)</f>
        <v>-</v>
      </c>
      <c r="J89" s="695" t="s">
        <v>358</v>
      </c>
      <c r="K89" s="696" t="str">
        <f>IF('Plot By Plot SoA'!J97=0,"-",'Plot By Plot SoA'!J97)</f>
        <v>Frontage Amenity</v>
      </c>
      <c r="L89" s="700">
        <v>70</v>
      </c>
    </row>
    <row r="90" spans="1:12" x14ac:dyDescent="0.35">
      <c r="A90" s="1690"/>
      <c r="B90" s="695">
        <v>85</v>
      </c>
      <c r="C90" s="695" t="s">
        <v>15</v>
      </c>
      <c r="D90" s="696" t="s">
        <v>362</v>
      </c>
      <c r="E90" s="697">
        <v>78</v>
      </c>
      <c r="F90" s="698">
        <f t="shared" si="6"/>
        <v>839.58420000000001</v>
      </c>
      <c r="G90" s="695" t="s">
        <v>345</v>
      </c>
      <c r="H90" s="699">
        <v>2</v>
      </c>
      <c r="I90" s="696" t="str">
        <f>IF('Plot By Plot SoA'!P98=0,"-",'Plot By Plot SoA'!P98)</f>
        <v>-</v>
      </c>
      <c r="J90" s="695" t="s">
        <v>358</v>
      </c>
      <c r="K90" s="696" t="str">
        <f>IF('Plot By Plot SoA'!J98=0,"-",'Plot By Plot SoA'!J98)</f>
        <v>Frontage Amenity</v>
      </c>
      <c r="L90" s="700">
        <v>70</v>
      </c>
    </row>
    <row r="91" spans="1:12" x14ac:dyDescent="0.35">
      <c r="A91" s="1691"/>
      <c r="B91" s="695">
        <v>86</v>
      </c>
      <c r="C91" s="695" t="s">
        <v>15</v>
      </c>
      <c r="D91" s="696" t="s">
        <v>362</v>
      </c>
      <c r="E91" s="697">
        <v>78</v>
      </c>
      <c r="F91" s="698">
        <f t="shared" si="6"/>
        <v>839.58420000000001</v>
      </c>
      <c r="G91" s="695" t="s">
        <v>345</v>
      </c>
      <c r="H91" s="699">
        <v>2</v>
      </c>
      <c r="I91" s="696" t="str">
        <f>IF('Plot By Plot SoA'!P99=0,"-",'Plot By Plot SoA'!P99)</f>
        <v>-</v>
      </c>
      <c r="J91" s="695" t="s">
        <v>358</v>
      </c>
      <c r="K91" s="696" t="str">
        <f>IF('Plot By Plot SoA'!J99=0,"-",'Plot By Plot SoA'!J99)</f>
        <v>Frontage Amenity</v>
      </c>
      <c r="L91" s="700">
        <v>70</v>
      </c>
    </row>
    <row r="92" spans="1:12" x14ac:dyDescent="0.35">
      <c r="A92" s="1672" t="s">
        <v>119</v>
      </c>
      <c r="B92" s="704">
        <v>87</v>
      </c>
      <c r="C92" s="704" t="s">
        <v>15</v>
      </c>
      <c r="D92" s="705" t="s">
        <v>361</v>
      </c>
      <c r="E92" s="706">
        <v>99.1</v>
      </c>
      <c r="F92" s="707">
        <f t="shared" si="6"/>
        <v>1066.7024899999999</v>
      </c>
      <c r="G92" s="704" t="s">
        <v>348</v>
      </c>
      <c r="H92" s="708">
        <v>3</v>
      </c>
      <c r="I92" s="705" t="str">
        <f>IF('Plot By Plot SoA'!P100=0,"-",'Plot By Plot SoA'!P100)</f>
        <v>-</v>
      </c>
      <c r="J92" s="704" t="s">
        <v>357</v>
      </c>
      <c r="K92" s="705" t="str">
        <f>IF('Plot By Plot SoA'!J100=0,"-",'Plot By Plot SoA'!J100)</f>
        <v>Private Front Garden</v>
      </c>
      <c r="L92" s="709">
        <v>263</v>
      </c>
    </row>
    <row r="93" spans="1:12" x14ac:dyDescent="0.35">
      <c r="A93" s="1673"/>
      <c r="B93" s="704">
        <v>88</v>
      </c>
      <c r="C93" s="704" t="s">
        <v>15</v>
      </c>
      <c r="D93" s="705" t="s">
        <v>362</v>
      </c>
      <c r="E93" s="706">
        <v>131.4</v>
      </c>
      <c r="F93" s="707">
        <f t="shared" si="6"/>
        <v>1414.37646</v>
      </c>
      <c r="G93" s="704" t="s">
        <v>351</v>
      </c>
      <c r="H93" s="708">
        <v>3</v>
      </c>
      <c r="I93" s="705" t="str">
        <f>IF('Plot By Plot SoA'!P102=0,"-",'Plot By Plot SoA'!P102)</f>
        <v>Y</v>
      </c>
      <c r="J93" s="704" t="s">
        <v>357</v>
      </c>
      <c r="K93" s="705" t="str">
        <f>IF('Plot By Plot SoA'!J102=0,"-",'Plot By Plot SoA'!J102)</f>
        <v>Private Rear Garden</v>
      </c>
      <c r="L93" s="709">
        <v>477</v>
      </c>
    </row>
    <row r="94" spans="1:12" x14ac:dyDescent="0.35">
      <c r="A94" s="1673"/>
      <c r="B94" s="704">
        <v>89</v>
      </c>
      <c r="C94" s="704" t="s">
        <v>15</v>
      </c>
      <c r="D94" s="705" t="s">
        <v>361</v>
      </c>
      <c r="E94" s="710">
        <v>131.4</v>
      </c>
      <c r="F94" s="711">
        <f t="shared" si="6"/>
        <v>1414.37646</v>
      </c>
      <c r="G94" s="704" t="s">
        <v>351</v>
      </c>
      <c r="H94" s="708">
        <v>3</v>
      </c>
      <c r="I94" s="705" t="str">
        <f>IF('Plot By Plot SoA'!P104=0,"-",'Plot By Plot SoA'!P104)</f>
        <v>Y</v>
      </c>
      <c r="J94" s="704" t="s">
        <v>357</v>
      </c>
      <c r="K94" s="705" t="str">
        <f>IF('Plot By Plot SoA'!J104=0,"-",'Plot By Plot SoA'!J104)</f>
        <v>Private Front Garden</v>
      </c>
      <c r="L94" s="709">
        <v>144</v>
      </c>
    </row>
    <row r="95" spans="1:12" x14ac:dyDescent="0.35">
      <c r="A95" s="1673"/>
      <c r="B95" s="704">
        <v>90</v>
      </c>
      <c r="C95" s="704" t="s">
        <v>15</v>
      </c>
      <c r="D95" s="705" t="s">
        <v>361</v>
      </c>
      <c r="E95" s="710">
        <v>77.099999999999994</v>
      </c>
      <c r="F95" s="711">
        <f t="shared" si="6"/>
        <v>829.89668999999992</v>
      </c>
      <c r="G95" s="704" t="s">
        <v>343</v>
      </c>
      <c r="H95" s="708">
        <v>3</v>
      </c>
      <c r="I95" s="705" t="str">
        <f>IF('Plot By Plot SoA'!P105=0,"-",'Plot By Plot SoA'!P105)</f>
        <v>-</v>
      </c>
      <c r="J95" s="704" t="s">
        <v>357</v>
      </c>
      <c r="K95" s="705" t="str">
        <f>IF('Plot By Plot SoA'!J105=0,"-",'Plot By Plot SoA'!J105)</f>
        <v>Private Front Garden</v>
      </c>
      <c r="L95" s="709">
        <v>99</v>
      </c>
    </row>
    <row r="96" spans="1:12" x14ac:dyDescent="0.35">
      <c r="A96" s="1673"/>
      <c r="B96" s="704">
        <v>91</v>
      </c>
      <c r="C96" s="704" t="s">
        <v>15</v>
      </c>
      <c r="D96" s="705" t="s">
        <v>362</v>
      </c>
      <c r="E96" s="710">
        <v>70</v>
      </c>
      <c r="F96" s="711">
        <f>SUM(E96*10.7639)</f>
        <v>753.47299999999996</v>
      </c>
      <c r="G96" s="704" t="s">
        <v>343</v>
      </c>
      <c r="H96" s="708">
        <v>3</v>
      </c>
      <c r="I96" s="705" t="str">
        <f>IF('Plot By Plot SoA'!P106=0,"-",'Plot By Plot SoA'!P106)</f>
        <v>-</v>
      </c>
      <c r="J96" s="704" t="s">
        <v>357</v>
      </c>
      <c r="K96" s="705" t="str">
        <f>IF('Plot By Plot SoA'!J106=0,"-",'Plot By Plot SoA'!J106)</f>
        <v>Private Front Garden</v>
      </c>
      <c r="L96" s="709">
        <v>96</v>
      </c>
    </row>
    <row r="97" spans="1:12" x14ac:dyDescent="0.35">
      <c r="A97" s="1673"/>
      <c r="B97" s="704">
        <v>92</v>
      </c>
      <c r="C97" s="704" t="s">
        <v>15</v>
      </c>
      <c r="D97" s="705" t="s">
        <v>362</v>
      </c>
      <c r="E97" s="710">
        <v>70</v>
      </c>
      <c r="F97" s="711">
        <f t="shared" si="6"/>
        <v>753.47299999999996</v>
      </c>
      <c r="G97" s="704" t="s">
        <v>343</v>
      </c>
      <c r="H97" s="708">
        <v>3</v>
      </c>
      <c r="I97" s="705" t="str">
        <f>IF('Plot By Plot SoA'!P107=0,"-",'Plot By Plot SoA'!P107)</f>
        <v>-</v>
      </c>
      <c r="J97" s="704" t="s">
        <v>357</v>
      </c>
      <c r="K97" s="705" t="str">
        <f>IF('Plot By Plot SoA'!J107=0,"-",'Plot By Plot SoA'!J107)</f>
        <v>Private Front Garden</v>
      </c>
      <c r="L97" s="709">
        <v>93</v>
      </c>
    </row>
    <row r="98" spans="1:12" x14ac:dyDescent="0.35">
      <c r="A98" s="1673"/>
      <c r="B98" s="704">
        <v>93</v>
      </c>
      <c r="C98" s="704" t="s">
        <v>15</v>
      </c>
      <c r="D98" s="705" t="s">
        <v>361</v>
      </c>
      <c r="E98" s="710">
        <v>76.599999999999994</v>
      </c>
      <c r="F98" s="711">
        <f t="shared" si="6"/>
        <v>824.51473999999996</v>
      </c>
      <c r="G98" s="704" t="s">
        <v>343</v>
      </c>
      <c r="H98" s="708">
        <v>2</v>
      </c>
      <c r="I98" s="705" t="str">
        <f>IF('Plot By Plot SoA'!P108=0,"-",'Plot By Plot SoA'!P108)</f>
        <v>Y</v>
      </c>
      <c r="J98" s="704" t="s">
        <v>357</v>
      </c>
      <c r="K98" s="705" t="str">
        <f>IF('Plot By Plot SoA'!J108=0,"-",'Plot By Plot SoA'!J108)</f>
        <v>Community Amenity</v>
      </c>
      <c r="L98" s="709" t="s">
        <v>77</v>
      </c>
    </row>
    <row r="99" spans="1:12" x14ac:dyDescent="0.35">
      <c r="A99" s="1673"/>
      <c r="B99" s="704">
        <v>94</v>
      </c>
      <c r="C99" s="704" t="s">
        <v>15</v>
      </c>
      <c r="D99" s="705" t="s">
        <v>361</v>
      </c>
      <c r="E99" s="706">
        <v>74.2</v>
      </c>
      <c r="F99" s="707">
        <f t="shared" si="6"/>
        <v>798.68137999999999</v>
      </c>
      <c r="G99" s="704" t="s">
        <v>343</v>
      </c>
      <c r="H99" s="708">
        <v>2</v>
      </c>
      <c r="I99" s="705" t="str">
        <f>IF('Plot By Plot SoA'!P109=0,"-",'Plot By Plot SoA'!P109)</f>
        <v>-</v>
      </c>
      <c r="J99" s="704" t="s">
        <v>358</v>
      </c>
      <c r="K99" s="705" t="str">
        <f>IF('Plot By Plot SoA'!J109=0,"-",'Plot By Plot SoA'!J109)</f>
        <v>Frontage Amenity</v>
      </c>
      <c r="L99" s="709">
        <v>123</v>
      </c>
    </row>
    <row r="100" spans="1:12" x14ac:dyDescent="0.35">
      <c r="A100" s="1673"/>
      <c r="B100" s="704">
        <v>95</v>
      </c>
      <c r="C100" s="704" t="s">
        <v>15</v>
      </c>
      <c r="D100" s="705" t="s">
        <v>362</v>
      </c>
      <c r="E100" s="710">
        <v>80.3</v>
      </c>
      <c r="F100" s="711">
        <f t="shared" si="6"/>
        <v>864.34116999999992</v>
      </c>
      <c r="G100" s="704" t="s">
        <v>345</v>
      </c>
      <c r="H100" s="708">
        <v>2</v>
      </c>
      <c r="I100" s="705" t="str">
        <f>IF('Plot By Plot SoA'!P111=0,"-",'Plot By Plot SoA'!P111)</f>
        <v>-</v>
      </c>
      <c r="J100" s="704" t="s">
        <v>357</v>
      </c>
      <c r="K100" s="705" t="str">
        <f>IF('Plot By Plot SoA'!J111=0,"-",'Plot By Plot SoA'!J111)</f>
        <v>Frontage Amenity</v>
      </c>
      <c r="L100" s="709">
        <v>108</v>
      </c>
    </row>
    <row r="101" spans="1:12" x14ac:dyDescent="0.35">
      <c r="A101" s="1673"/>
      <c r="B101" s="704">
        <v>96</v>
      </c>
      <c r="C101" s="704" t="s">
        <v>15</v>
      </c>
      <c r="D101" s="705" t="s">
        <v>361</v>
      </c>
      <c r="E101" s="706">
        <v>81</v>
      </c>
      <c r="F101" s="707">
        <f t="shared" si="6"/>
        <v>871.8759</v>
      </c>
      <c r="G101" s="704" t="s">
        <v>348</v>
      </c>
      <c r="H101" s="708">
        <v>3</v>
      </c>
      <c r="I101" s="705" t="str">
        <f>IF('Plot By Plot SoA'!P112=0,"-",'Plot By Plot SoA'!P112)</f>
        <v>-</v>
      </c>
      <c r="J101" s="704" t="s">
        <v>356</v>
      </c>
      <c r="K101" s="705" t="str">
        <f>IF('Plot By Plot SoA'!J112=0,"-",'Plot By Plot SoA'!J112)</f>
        <v>Roof Terrace</v>
      </c>
      <c r="L101" s="709">
        <v>356</v>
      </c>
    </row>
    <row r="102" spans="1:12" ht="30" x14ac:dyDescent="0.35">
      <c r="A102" s="1673"/>
      <c r="B102" s="704">
        <v>97</v>
      </c>
      <c r="C102" s="704" t="s">
        <v>15</v>
      </c>
      <c r="D102" s="712" t="s">
        <v>365</v>
      </c>
      <c r="E102" s="706">
        <v>93.4</v>
      </c>
      <c r="F102" s="707">
        <f t="shared" si="6"/>
        <v>1005.34826</v>
      </c>
      <c r="G102" s="704" t="s">
        <v>348</v>
      </c>
      <c r="H102" s="708">
        <v>3</v>
      </c>
      <c r="I102" s="705" t="str">
        <f>IF('Plot By Plot SoA'!P114=0,"-",'Plot By Plot SoA'!P114)</f>
        <v>-</v>
      </c>
      <c r="J102" s="704" t="s">
        <v>356</v>
      </c>
      <c r="K102" s="705" t="str">
        <f>IF('Plot By Plot SoA'!J114=0,"-",'Plot By Plot SoA'!J114)</f>
        <v>Roof Terrace</v>
      </c>
      <c r="L102" s="709">
        <v>489</v>
      </c>
    </row>
    <row r="103" spans="1:12" x14ac:dyDescent="0.35">
      <c r="A103" s="1673"/>
      <c r="B103" s="704">
        <v>98</v>
      </c>
      <c r="C103" s="704" t="s">
        <v>15</v>
      </c>
      <c r="D103" s="705" t="s">
        <v>366</v>
      </c>
      <c r="E103" s="706">
        <v>179.6</v>
      </c>
      <c r="F103" s="707">
        <f t="shared" si="6"/>
        <v>1933.1964399999999</v>
      </c>
      <c r="G103" s="704" t="s">
        <v>346</v>
      </c>
      <c r="H103" s="708">
        <v>4</v>
      </c>
      <c r="I103" s="705" t="str">
        <f>IF('Plot By Plot SoA'!P117=0,"-",'Plot By Plot SoA'!P117)</f>
        <v>Y</v>
      </c>
      <c r="J103" s="704" t="s">
        <v>357</v>
      </c>
      <c r="K103" s="705" t="str">
        <f>IF('Plot By Plot SoA'!J117=0,"-",'Plot By Plot SoA'!J117)</f>
        <v>Private Rear Garden</v>
      </c>
      <c r="L103" s="709">
        <v>410</v>
      </c>
    </row>
    <row r="104" spans="1:12" x14ac:dyDescent="0.35">
      <c r="A104" s="1673"/>
      <c r="B104" s="704">
        <v>99</v>
      </c>
      <c r="C104" s="704" t="s">
        <v>15</v>
      </c>
      <c r="D104" s="705" t="s">
        <v>361</v>
      </c>
      <c r="E104" s="706">
        <v>83.1</v>
      </c>
      <c r="F104" s="707">
        <f t="shared" si="6"/>
        <v>894.4800899999999</v>
      </c>
      <c r="G104" s="704" t="s">
        <v>344</v>
      </c>
      <c r="H104" s="708">
        <v>3</v>
      </c>
      <c r="I104" s="705" t="str">
        <f>IF('Plot By Plot SoA'!P119=0,"-",'Plot By Plot SoA'!P119)</f>
        <v>-</v>
      </c>
      <c r="J104" s="704" t="s">
        <v>356</v>
      </c>
      <c r="K104" s="705" t="str">
        <f>IF('Plot By Plot SoA'!J119=0,"-",'Plot By Plot SoA'!J119)</f>
        <v>Roof Terrace</v>
      </c>
      <c r="L104" s="709">
        <v>188</v>
      </c>
    </row>
    <row r="105" spans="1:12" x14ac:dyDescent="0.35">
      <c r="A105" s="1673"/>
      <c r="B105" s="704">
        <v>100</v>
      </c>
      <c r="C105" s="704" t="s">
        <v>15</v>
      </c>
      <c r="D105" s="705" t="s">
        <v>362</v>
      </c>
      <c r="E105" s="710">
        <v>95</v>
      </c>
      <c r="F105" s="711">
        <f t="shared" si="6"/>
        <v>1022.5704999999999</v>
      </c>
      <c r="G105" s="704" t="s">
        <v>345</v>
      </c>
      <c r="H105" s="708">
        <v>3</v>
      </c>
      <c r="I105" s="705" t="str">
        <f>IF('Plot By Plot SoA'!P121=0,"-",'Plot By Plot SoA'!P121)</f>
        <v>-</v>
      </c>
      <c r="J105" s="704" t="s">
        <v>357</v>
      </c>
      <c r="K105" s="705" t="str">
        <f>IF('Plot By Plot SoA'!J121=0,"-",'Plot By Plot SoA'!J121)</f>
        <v>Private Front Garden</v>
      </c>
      <c r="L105" s="709">
        <v>98</v>
      </c>
    </row>
    <row r="106" spans="1:12" x14ac:dyDescent="0.35">
      <c r="A106" s="1673"/>
      <c r="B106" s="704">
        <v>101</v>
      </c>
      <c r="C106" s="704" t="s">
        <v>15</v>
      </c>
      <c r="D106" s="705" t="s">
        <v>362</v>
      </c>
      <c r="E106" s="710">
        <v>95</v>
      </c>
      <c r="F106" s="711">
        <f t="shared" si="6"/>
        <v>1022.5704999999999</v>
      </c>
      <c r="G106" s="704" t="s">
        <v>345</v>
      </c>
      <c r="H106" s="708">
        <v>3</v>
      </c>
      <c r="I106" s="705" t="str">
        <f>IF('Plot By Plot SoA'!P122=0,"-",'Plot By Plot SoA'!P122)</f>
        <v>-</v>
      </c>
      <c r="J106" s="704" t="s">
        <v>357</v>
      </c>
      <c r="K106" s="705" t="str">
        <f>IF('Plot By Plot SoA'!J122=0,"-",'Plot By Plot SoA'!J122)</f>
        <v>Private Front Garden</v>
      </c>
      <c r="L106" s="709">
        <v>98</v>
      </c>
    </row>
    <row r="107" spans="1:12" x14ac:dyDescent="0.35">
      <c r="A107" s="1673"/>
      <c r="B107" s="704">
        <v>102</v>
      </c>
      <c r="C107" s="704" t="s">
        <v>15</v>
      </c>
      <c r="D107" s="705" t="s">
        <v>362</v>
      </c>
      <c r="E107" s="706">
        <v>83.1</v>
      </c>
      <c r="F107" s="707">
        <f t="shared" si="6"/>
        <v>894.4800899999999</v>
      </c>
      <c r="G107" s="704" t="s">
        <v>344</v>
      </c>
      <c r="H107" s="708">
        <v>3</v>
      </c>
      <c r="I107" s="705" t="str">
        <f>IF('Plot By Plot SoA'!P123=0,"-",'Plot By Plot SoA'!P123)</f>
        <v>-</v>
      </c>
      <c r="J107" s="704" t="s">
        <v>356</v>
      </c>
      <c r="K107" s="705" t="str">
        <f>IF('Plot By Plot SoA'!J123=0,"-",'Plot By Plot SoA'!J123)</f>
        <v>Roof Terrace</v>
      </c>
      <c r="L107" s="709">
        <v>188</v>
      </c>
    </row>
    <row r="108" spans="1:12" x14ac:dyDescent="0.35">
      <c r="A108" s="1673"/>
      <c r="B108" s="704">
        <v>103</v>
      </c>
      <c r="C108" s="704" t="s">
        <v>15</v>
      </c>
      <c r="D108" s="705" t="s">
        <v>361</v>
      </c>
      <c r="E108" s="710">
        <v>103.6</v>
      </c>
      <c r="F108" s="711">
        <f t="shared" si="6"/>
        <v>1115.14004</v>
      </c>
      <c r="G108" s="704" t="s">
        <v>348</v>
      </c>
      <c r="H108" s="708">
        <v>3</v>
      </c>
      <c r="I108" s="705" t="str">
        <f>IF('Plot By Plot SoA'!P125=0,"-",'Plot By Plot SoA'!P125)</f>
        <v>-</v>
      </c>
      <c r="J108" s="704" t="s">
        <v>357</v>
      </c>
      <c r="K108" s="705" t="str">
        <f>IF('Plot By Plot SoA'!J125=0,"-",'Plot By Plot SoA'!J125)</f>
        <v>Roof Terrace</v>
      </c>
      <c r="L108" s="709">
        <v>316</v>
      </c>
    </row>
    <row r="109" spans="1:12" x14ac:dyDescent="0.35">
      <c r="A109" s="1673"/>
      <c r="B109" s="704">
        <v>104</v>
      </c>
      <c r="C109" s="704" t="s">
        <v>15</v>
      </c>
      <c r="D109" s="705" t="s">
        <v>361</v>
      </c>
      <c r="E109" s="710">
        <v>94.4</v>
      </c>
      <c r="F109" s="711">
        <f t="shared" si="6"/>
        <v>1016.11216</v>
      </c>
      <c r="G109" s="704" t="s">
        <v>345</v>
      </c>
      <c r="H109" s="708">
        <v>2</v>
      </c>
      <c r="I109" s="705" t="str">
        <f>IF('Plot By Plot SoA'!P126=0,"-",'Plot By Plot SoA'!P126)</f>
        <v>-</v>
      </c>
      <c r="J109" s="704" t="s">
        <v>357</v>
      </c>
      <c r="K109" s="705" t="str">
        <f>IF('Plot By Plot SoA'!J126=0,"-",'Plot By Plot SoA'!J126)</f>
        <v>Community Amenity</v>
      </c>
      <c r="L109" s="709" t="s">
        <v>77</v>
      </c>
    </row>
    <row r="110" spans="1:12" x14ac:dyDescent="0.35">
      <c r="A110" s="1673"/>
      <c r="B110" s="704">
        <v>105</v>
      </c>
      <c r="C110" s="704" t="s">
        <v>15</v>
      </c>
      <c r="D110" s="705" t="s">
        <v>362</v>
      </c>
      <c r="E110" s="706">
        <v>120.7</v>
      </c>
      <c r="F110" s="707">
        <f t="shared" si="6"/>
        <v>1299.20273</v>
      </c>
      <c r="G110" s="704" t="s">
        <v>349</v>
      </c>
      <c r="H110" s="708">
        <v>3</v>
      </c>
      <c r="I110" s="705" t="str">
        <f>IF('Plot By Plot SoA'!P127=0,"-",'Plot By Plot SoA'!P127)</f>
        <v>-</v>
      </c>
      <c r="J110" s="704" t="s">
        <v>357</v>
      </c>
      <c r="K110" s="705" t="str">
        <f>IF('Plot By Plot SoA'!J127=0,"-",'Plot By Plot SoA'!J127)</f>
        <v>Roof Terrace</v>
      </c>
      <c r="L110" s="709">
        <v>308</v>
      </c>
    </row>
    <row r="111" spans="1:12" x14ac:dyDescent="0.35">
      <c r="A111" s="1673"/>
      <c r="B111" s="704">
        <v>106</v>
      </c>
      <c r="C111" s="704" t="s">
        <v>15</v>
      </c>
      <c r="D111" s="705" t="s">
        <v>362</v>
      </c>
      <c r="E111" s="710">
        <v>89.4</v>
      </c>
      <c r="F111" s="711">
        <f t="shared" si="6"/>
        <v>962.29266000000007</v>
      </c>
      <c r="G111" s="704" t="s">
        <v>344</v>
      </c>
      <c r="H111" s="708">
        <v>3</v>
      </c>
      <c r="I111" s="705" t="str">
        <f>IF('Plot By Plot SoA'!P129=0,"-",'Plot By Plot SoA'!P129)</f>
        <v>-</v>
      </c>
      <c r="J111" s="704" t="s">
        <v>358</v>
      </c>
      <c r="K111" s="705" t="str">
        <f>IF('Plot By Plot SoA'!J129=0,"-",'Plot By Plot SoA'!J129)</f>
        <v>Roof Terrace</v>
      </c>
      <c r="L111" s="709">
        <v>180</v>
      </c>
    </row>
    <row r="112" spans="1:12" x14ac:dyDescent="0.35">
      <c r="A112" s="1673"/>
      <c r="B112" s="704">
        <v>107</v>
      </c>
      <c r="C112" s="704" t="s">
        <v>320</v>
      </c>
      <c r="D112" s="713" t="s">
        <v>320</v>
      </c>
      <c r="E112" s="710">
        <v>82.5</v>
      </c>
      <c r="F112" s="711">
        <f t="shared" si="6"/>
        <v>888.02175</v>
      </c>
      <c r="G112" s="704" t="s">
        <v>343</v>
      </c>
      <c r="H112" s="708">
        <v>2</v>
      </c>
      <c r="I112" s="705" t="str">
        <f>IF('Plot By Plot SoA'!P130=0,"-",'Plot By Plot SoA'!P130)</f>
        <v>-</v>
      </c>
      <c r="J112" s="704" t="s">
        <v>358</v>
      </c>
      <c r="K112" s="705" t="str">
        <f>IF('Plot By Plot SoA'!J130=0,"-",'Plot By Plot SoA'!J130)</f>
        <v>Private Front Garden</v>
      </c>
      <c r="L112" s="709">
        <v>93</v>
      </c>
    </row>
    <row r="113" spans="1:12" x14ac:dyDescent="0.35">
      <c r="A113" s="1673"/>
      <c r="B113" s="704">
        <v>108</v>
      </c>
      <c r="C113" s="704" t="s">
        <v>15</v>
      </c>
      <c r="D113" s="705" t="s">
        <v>361</v>
      </c>
      <c r="E113" s="710">
        <v>108</v>
      </c>
      <c r="F113" s="711">
        <f t="shared" si="6"/>
        <v>1162.5011999999999</v>
      </c>
      <c r="G113" s="704" t="s">
        <v>348</v>
      </c>
      <c r="H113" s="708">
        <v>3</v>
      </c>
      <c r="I113" s="705" t="str">
        <f>IF('Plot By Plot SoA'!P131=0,"-",'Plot By Plot SoA'!P131)</f>
        <v>Y</v>
      </c>
      <c r="J113" s="704" t="s">
        <v>357</v>
      </c>
      <c r="K113" s="705" t="str">
        <f>IF('Plot By Plot SoA'!J131=0,"-",'Plot By Plot SoA'!J131)</f>
        <v>Private Front Garden</v>
      </c>
      <c r="L113" s="709">
        <v>118</v>
      </c>
    </row>
    <row r="114" spans="1:12" x14ac:dyDescent="0.35">
      <c r="A114" s="1673"/>
      <c r="B114" s="704">
        <v>109</v>
      </c>
      <c r="C114" s="704" t="s">
        <v>15</v>
      </c>
      <c r="D114" s="705" t="s">
        <v>362</v>
      </c>
      <c r="E114" s="710">
        <v>108</v>
      </c>
      <c r="F114" s="711">
        <f t="shared" si="6"/>
        <v>1162.5011999999999</v>
      </c>
      <c r="G114" s="704" t="s">
        <v>344</v>
      </c>
      <c r="H114" s="708">
        <v>3</v>
      </c>
      <c r="I114" s="705" t="str">
        <f>IF('Plot By Plot SoA'!P132=0,"-",'Plot By Plot SoA'!P132)</f>
        <v>-</v>
      </c>
      <c r="J114" s="704" t="s">
        <v>357</v>
      </c>
      <c r="K114" s="705" t="str">
        <f>IF('Plot By Plot SoA'!J132=0,"-",'Plot By Plot SoA'!J132)</f>
        <v>Private Front Garden</v>
      </c>
      <c r="L114" s="709">
        <v>107</v>
      </c>
    </row>
    <row r="115" spans="1:12" x14ac:dyDescent="0.35">
      <c r="A115" s="1673"/>
      <c r="B115" s="704">
        <v>110</v>
      </c>
      <c r="C115" s="704" t="s">
        <v>51</v>
      </c>
      <c r="D115" s="705" t="s">
        <v>368</v>
      </c>
      <c r="E115" s="710">
        <v>72.900000000000006</v>
      </c>
      <c r="F115" s="711">
        <f t="shared" si="6"/>
        <v>784.68831</v>
      </c>
      <c r="G115" s="704" t="s">
        <v>343</v>
      </c>
      <c r="H115" s="708">
        <v>2</v>
      </c>
      <c r="I115" s="705" t="str">
        <f>IF('Plot By Plot SoA'!P133=0,"-",'Plot By Plot SoA'!P133)</f>
        <v>-</v>
      </c>
      <c r="J115" s="704" t="s">
        <v>358</v>
      </c>
      <c r="K115" s="705" t="str">
        <f>IF('Plot By Plot SoA'!J133=0,"-",'Plot By Plot SoA'!J133)</f>
        <v>Private Front Garden</v>
      </c>
      <c r="L115" s="709">
        <v>38</v>
      </c>
    </row>
    <row r="116" spans="1:12" x14ac:dyDescent="0.35">
      <c r="A116" s="1673"/>
      <c r="B116" s="704">
        <v>111</v>
      </c>
      <c r="C116" s="704" t="s">
        <v>51</v>
      </c>
      <c r="D116" s="705" t="s">
        <v>369</v>
      </c>
      <c r="E116" s="710">
        <v>72.900000000000006</v>
      </c>
      <c r="F116" s="711">
        <f t="shared" si="6"/>
        <v>784.68831</v>
      </c>
      <c r="G116" s="704" t="s">
        <v>343</v>
      </c>
      <c r="H116" s="708">
        <v>2</v>
      </c>
      <c r="I116" s="705" t="str">
        <f>IF('Plot By Plot SoA'!P134=0,"-",'Plot By Plot SoA'!P134)</f>
        <v>-</v>
      </c>
      <c r="J116" s="704" t="s">
        <v>358</v>
      </c>
      <c r="K116" s="705" t="str">
        <f>IF('Plot By Plot SoA'!J134=0,"-",'Plot By Plot SoA'!J134)</f>
        <v>Roof Terrace</v>
      </c>
      <c r="L116" s="709">
        <v>95</v>
      </c>
    </row>
    <row r="117" spans="1:12" x14ac:dyDescent="0.35">
      <c r="A117" s="1673"/>
      <c r="B117" s="704">
        <v>112</v>
      </c>
      <c r="C117" s="704" t="s">
        <v>51</v>
      </c>
      <c r="D117" s="705" t="s">
        <v>369</v>
      </c>
      <c r="E117" s="710">
        <v>100.4</v>
      </c>
      <c r="F117" s="711">
        <f t="shared" si="6"/>
        <v>1080.6955600000001</v>
      </c>
      <c r="G117" s="704" t="s">
        <v>344</v>
      </c>
      <c r="H117" s="708">
        <v>2</v>
      </c>
      <c r="I117" s="705" t="str">
        <f>IF('Plot By Plot SoA'!P135=0,"-",'Plot By Plot SoA'!P135)</f>
        <v>Y</v>
      </c>
      <c r="J117" s="704" t="s">
        <v>358</v>
      </c>
      <c r="K117" s="705" t="str">
        <f>IF('Plot By Plot SoA'!J135=0,"-",'Plot By Plot SoA'!J135)</f>
        <v>Roof Terrace</v>
      </c>
      <c r="L117" s="709">
        <v>95</v>
      </c>
    </row>
    <row r="118" spans="1:12" x14ac:dyDescent="0.35">
      <c r="A118" s="1673"/>
      <c r="B118" s="704">
        <v>113</v>
      </c>
      <c r="C118" s="704" t="s">
        <v>51</v>
      </c>
      <c r="D118" s="705" t="s">
        <v>369</v>
      </c>
      <c r="E118" s="706">
        <v>79.2</v>
      </c>
      <c r="F118" s="707">
        <f t="shared" si="6"/>
        <v>852.50088000000005</v>
      </c>
      <c r="G118" s="704" t="s">
        <v>345</v>
      </c>
      <c r="H118" s="708">
        <v>2</v>
      </c>
      <c r="I118" s="705" t="str">
        <f>IF('Plot By Plot SoA'!P136=0,"-",'Plot By Plot SoA'!P136)</f>
        <v>-</v>
      </c>
      <c r="J118" s="704" t="s">
        <v>358</v>
      </c>
      <c r="K118" s="705" t="str">
        <f>IF('Plot By Plot SoA'!J136=0,"-",'Plot By Plot SoA'!J136)</f>
        <v>Balcony</v>
      </c>
      <c r="L118" s="709">
        <v>172</v>
      </c>
    </row>
    <row r="119" spans="1:12" x14ac:dyDescent="0.35">
      <c r="A119" s="1673"/>
      <c r="B119" s="704">
        <v>114</v>
      </c>
      <c r="C119" s="704" t="s">
        <v>51</v>
      </c>
      <c r="D119" s="705" t="s">
        <v>368</v>
      </c>
      <c r="E119" s="710">
        <v>100.4</v>
      </c>
      <c r="F119" s="711">
        <f t="shared" si="6"/>
        <v>1080.6955600000001</v>
      </c>
      <c r="G119" s="704" t="s">
        <v>344</v>
      </c>
      <c r="H119" s="708">
        <v>2</v>
      </c>
      <c r="I119" s="705" t="str">
        <f>IF('Plot By Plot SoA'!P138=0,"-",'Plot By Plot SoA'!P138)</f>
        <v>-</v>
      </c>
      <c r="J119" s="704" t="s">
        <v>357</v>
      </c>
      <c r="K119" s="705" t="str">
        <f>IF('Plot By Plot SoA'!J138=0,"-",'Plot By Plot SoA'!J138)</f>
        <v>Frontage Amenity</v>
      </c>
      <c r="L119" s="709">
        <v>47</v>
      </c>
    </row>
    <row r="120" spans="1:12" x14ac:dyDescent="0.35">
      <c r="A120" s="1674"/>
      <c r="B120" s="704">
        <v>115</v>
      </c>
      <c r="C120" s="704" t="s">
        <v>51</v>
      </c>
      <c r="D120" s="705" t="s">
        <v>368</v>
      </c>
      <c r="E120" s="710">
        <v>79</v>
      </c>
      <c r="F120" s="711">
        <f t="shared" si="6"/>
        <v>850.34809999999993</v>
      </c>
      <c r="G120" s="704" t="s">
        <v>345</v>
      </c>
      <c r="H120" s="708">
        <v>2</v>
      </c>
      <c r="I120" s="705" t="str">
        <f>IF('Plot By Plot SoA'!P139=0,"-",'Plot By Plot SoA'!P139)</f>
        <v>-</v>
      </c>
      <c r="J120" s="704" t="s">
        <v>357</v>
      </c>
      <c r="K120" s="705" t="str">
        <f>IF('Plot By Plot SoA'!J139=0,"-",'Plot By Plot SoA'!J139)</f>
        <v>Frontage Amenity</v>
      </c>
      <c r="L120" s="709">
        <v>85</v>
      </c>
    </row>
    <row r="121" spans="1:12" x14ac:dyDescent="0.35">
      <c r="A121" s="1675" t="s">
        <v>21</v>
      </c>
      <c r="B121" s="714">
        <v>116</v>
      </c>
      <c r="C121" s="714" t="s">
        <v>51</v>
      </c>
      <c r="D121" s="715" t="s">
        <v>320</v>
      </c>
      <c r="E121" s="714">
        <v>87.7</v>
      </c>
      <c r="F121" s="716">
        <f t="shared" si="6"/>
        <v>943.99402999999995</v>
      </c>
      <c r="G121" s="714" t="s">
        <v>345</v>
      </c>
      <c r="H121" s="717">
        <v>2</v>
      </c>
      <c r="I121" s="715" t="str">
        <f>IF('Plot By Plot SoA'!P140=0,"-",'Plot By Plot SoA'!P140)</f>
        <v>-</v>
      </c>
      <c r="J121" s="714" t="s">
        <v>358</v>
      </c>
      <c r="K121" s="715" t="str">
        <f>IF('Plot By Plot SoA'!J140=0,"-",'Plot By Plot SoA'!J140)</f>
        <v>Roof Terrace</v>
      </c>
      <c r="L121" s="718">
        <v>168</v>
      </c>
    </row>
    <row r="122" spans="1:12" x14ac:dyDescent="0.35">
      <c r="A122" s="1676"/>
      <c r="B122" s="714">
        <v>117</v>
      </c>
      <c r="C122" s="714" t="s">
        <v>15</v>
      </c>
      <c r="D122" s="715" t="s">
        <v>362</v>
      </c>
      <c r="E122" s="719">
        <v>83.1</v>
      </c>
      <c r="F122" s="720">
        <f>SUM(E122*10.7639)</f>
        <v>894.4800899999999</v>
      </c>
      <c r="G122" s="714" t="s">
        <v>344</v>
      </c>
      <c r="H122" s="717">
        <v>3</v>
      </c>
      <c r="I122" s="715" t="str">
        <f>IF('Plot By Plot SoA'!P141=0,"-",'Plot By Plot SoA'!P141)</f>
        <v>-</v>
      </c>
      <c r="J122" s="714" t="s">
        <v>356</v>
      </c>
      <c r="K122" s="715" t="str">
        <f>IF('Plot By Plot SoA'!J141=0,"-",'Plot By Plot SoA'!J141)</f>
        <v>Roof Terrace</v>
      </c>
      <c r="L122" s="718">
        <v>150</v>
      </c>
    </row>
    <row r="123" spans="1:12" x14ac:dyDescent="0.35">
      <c r="A123" s="1676"/>
      <c r="B123" s="714">
        <v>118</v>
      </c>
      <c r="C123" s="714" t="s">
        <v>15</v>
      </c>
      <c r="D123" s="715" t="s">
        <v>362</v>
      </c>
      <c r="E123" s="714">
        <v>95</v>
      </c>
      <c r="F123" s="716">
        <f t="shared" ref="F123:F134" si="7">SUM(E123*10.7639)</f>
        <v>1022.5704999999999</v>
      </c>
      <c r="G123" s="714" t="s">
        <v>345</v>
      </c>
      <c r="H123" s="717">
        <v>3</v>
      </c>
      <c r="I123" s="715" t="str">
        <f>IF('Plot By Plot SoA'!P143=0,"-",'Plot By Plot SoA'!P143)</f>
        <v>-</v>
      </c>
      <c r="J123" s="714" t="s">
        <v>357</v>
      </c>
      <c r="K123" s="715" t="str">
        <f>IF('Plot By Plot SoA'!J143=0,"-",'Plot By Plot SoA'!J143)</f>
        <v>Community Amenity</v>
      </c>
      <c r="L123" s="718" t="s">
        <v>77</v>
      </c>
    </row>
    <row r="124" spans="1:12" x14ac:dyDescent="0.35">
      <c r="A124" s="1676"/>
      <c r="B124" s="714">
        <v>119</v>
      </c>
      <c r="C124" s="714" t="s">
        <v>15</v>
      </c>
      <c r="D124" s="715" t="s">
        <v>362</v>
      </c>
      <c r="E124" s="714">
        <v>95</v>
      </c>
      <c r="F124" s="716">
        <f t="shared" si="7"/>
        <v>1022.5704999999999</v>
      </c>
      <c r="G124" s="714" t="s">
        <v>345</v>
      </c>
      <c r="H124" s="717">
        <v>3</v>
      </c>
      <c r="I124" s="715" t="str">
        <f>IF('Plot By Plot SoA'!P144=0,"-",'Plot By Plot SoA'!P144)</f>
        <v>-</v>
      </c>
      <c r="J124" s="714" t="s">
        <v>357</v>
      </c>
      <c r="K124" s="715" t="str">
        <f>IF('Plot By Plot SoA'!J144=0,"-",'Plot By Plot SoA'!J144)</f>
        <v>Community Amenity</v>
      </c>
      <c r="L124" s="718" t="s">
        <v>77</v>
      </c>
    </row>
    <row r="125" spans="1:12" x14ac:dyDescent="0.35">
      <c r="A125" s="1676"/>
      <c r="B125" s="714">
        <v>120</v>
      </c>
      <c r="C125" s="714" t="s">
        <v>15</v>
      </c>
      <c r="D125" s="715" t="s">
        <v>361</v>
      </c>
      <c r="E125" s="719">
        <v>83.1</v>
      </c>
      <c r="F125" s="720">
        <f t="shared" si="7"/>
        <v>894.4800899999999</v>
      </c>
      <c r="G125" s="714" t="s">
        <v>344</v>
      </c>
      <c r="H125" s="717">
        <v>3</v>
      </c>
      <c r="I125" s="715" t="str">
        <f>IF('Plot By Plot SoA'!P145=0,"-",'Plot By Plot SoA'!P145)</f>
        <v>-</v>
      </c>
      <c r="J125" s="714" t="s">
        <v>356</v>
      </c>
      <c r="K125" s="715" t="str">
        <f>IF('Plot By Plot SoA'!J145=0,"-",'Plot By Plot SoA'!J145)</f>
        <v>Roof Terrace</v>
      </c>
      <c r="L125" s="718">
        <v>170</v>
      </c>
    </row>
    <row r="126" spans="1:12" x14ac:dyDescent="0.35">
      <c r="A126" s="1676"/>
      <c r="B126" s="714">
        <v>121</v>
      </c>
      <c r="C126" s="714" t="s">
        <v>15</v>
      </c>
      <c r="D126" s="715" t="s">
        <v>362</v>
      </c>
      <c r="E126" s="714">
        <v>77.5</v>
      </c>
      <c r="F126" s="716">
        <f t="shared" si="7"/>
        <v>834.20224999999994</v>
      </c>
      <c r="G126" s="714" t="s">
        <v>343</v>
      </c>
      <c r="H126" s="717">
        <v>3</v>
      </c>
      <c r="I126" s="715" t="str">
        <f>IF('Plot By Plot SoA'!P147=0,"-",'Plot By Plot SoA'!P147)</f>
        <v>-</v>
      </c>
      <c r="J126" s="714" t="s">
        <v>358</v>
      </c>
      <c r="K126" s="715" t="str">
        <f>IF('Plot By Plot SoA'!J147=0,"-",'Plot By Plot SoA'!J147)</f>
        <v>Community Amenity</v>
      </c>
      <c r="L126" s="718" t="s">
        <v>77</v>
      </c>
    </row>
    <row r="127" spans="1:12" x14ac:dyDescent="0.35">
      <c r="A127" s="1676"/>
      <c r="B127" s="714">
        <v>122</v>
      </c>
      <c r="C127" s="714" t="s">
        <v>15</v>
      </c>
      <c r="D127" s="715" t="s">
        <v>362</v>
      </c>
      <c r="E127" s="714">
        <v>77.5</v>
      </c>
      <c r="F127" s="716">
        <f t="shared" si="7"/>
        <v>834.20224999999994</v>
      </c>
      <c r="G127" s="714" t="s">
        <v>343</v>
      </c>
      <c r="H127" s="717">
        <v>3</v>
      </c>
      <c r="I127" s="715" t="str">
        <f>IF('Plot By Plot SoA'!P148=0,"-",'Plot By Plot SoA'!P148)</f>
        <v>-</v>
      </c>
      <c r="J127" s="714" t="s">
        <v>358</v>
      </c>
      <c r="K127" s="715" t="str">
        <f>IF('Plot By Plot SoA'!J148=0,"-",'Plot By Plot SoA'!J148)</f>
        <v>Community Amenity</v>
      </c>
      <c r="L127" s="718" t="s">
        <v>77</v>
      </c>
    </row>
    <row r="128" spans="1:12" x14ac:dyDescent="0.35">
      <c r="A128" s="1676"/>
      <c r="B128" s="714">
        <v>123</v>
      </c>
      <c r="C128" s="714" t="s">
        <v>15</v>
      </c>
      <c r="D128" s="715" t="s">
        <v>362</v>
      </c>
      <c r="E128" s="714">
        <v>77.5</v>
      </c>
      <c r="F128" s="716">
        <f t="shared" si="7"/>
        <v>834.20224999999994</v>
      </c>
      <c r="G128" s="714" t="s">
        <v>343</v>
      </c>
      <c r="H128" s="717">
        <v>3</v>
      </c>
      <c r="I128" s="715" t="str">
        <f>IF('Plot By Plot SoA'!P149=0,"-",'Plot By Plot SoA'!P149)</f>
        <v>-</v>
      </c>
      <c r="J128" s="714" t="s">
        <v>358</v>
      </c>
      <c r="K128" s="715" t="str">
        <f>IF('Plot By Plot SoA'!J149=0,"-",'Plot By Plot SoA'!J149)</f>
        <v>Community Amenity</v>
      </c>
      <c r="L128" s="718" t="s">
        <v>77</v>
      </c>
    </row>
    <row r="129" spans="1:12" x14ac:dyDescent="0.35">
      <c r="A129" s="1676"/>
      <c r="B129" s="714">
        <v>124</v>
      </c>
      <c r="C129" s="714" t="s">
        <v>320</v>
      </c>
      <c r="D129" s="715" t="s">
        <v>367</v>
      </c>
      <c r="E129" s="714">
        <v>99</v>
      </c>
      <c r="F129" s="716">
        <f t="shared" si="7"/>
        <v>1065.6261</v>
      </c>
      <c r="G129" s="714" t="s">
        <v>345</v>
      </c>
      <c r="H129" s="717">
        <v>2</v>
      </c>
      <c r="I129" s="715" t="str">
        <f>IF('Plot By Plot SoA'!P150=0,"-",'Plot By Plot SoA'!P150)</f>
        <v>-</v>
      </c>
      <c r="J129" s="714" t="s">
        <v>358</v>
      </c>
      <c r="K129" s="715" t="str">
        <f>IF('Plot By Plot SoA'!J150=0,"-",'Plot By Plot SoA'!J150)</f>
        <v>Community Amenity</v>
      </c>
      <c r="L129" s="718" t="s">
        <v>77</v>
      </c>
    </row>
    <row r="130" spans="1:12" x14ac:dyDescent="0.35">
      <c r="A130" s="1676"/>
      <c r="B130" s="714">
        <v>125</v>
      </c>
      <c r="C130" s="714" t="s">
        <v>15</v>
      </c>
      <c r="D130" s="715" t="s">
        <v>362</v>
      </c>
      <c r="E130" s="714">
        <v>75.3</v>
      </c>
      <c r="F130" s="716">
        <f t="shared" si="7"/>
        <v>810.52166999999997</v>
      </c>
      <c r="G130" s="714" t="s">
        <v>343</v>
      </c>
      <c r="H130" s="717">
        <v>3</v>
      </c>
      <c r="I130" s="715" t="str">
        <f>IF('Plot By Plot SoA'!P151=0,"-",'Plot By Plot SoA'!P151)</f>
        <v>-</v>
      </c>
      <c r="J130" s="714" t="s">
        <v>358</v>
      </c>
      <c r="K130" s="715" t="str">
        <f>IF('Plot By Plot SoA'!J151=0,"-",'Plot By Plot SoA'!J151)</f>
        <v>Community Amenity</v>
      </c>
      <c r="L130" s="718" t="s">
        <v>77</v>
      </c>
    </row>
    <row r="131" spans="1:12" x14ac:dyDescent="0.35">
      <c r="A131" s="1676"/>
      <c r="B131" s="714">
        <v>126</v>
      </c>
      <c r="C131" s="714" t="s">
        <v>15</v>
      </c>
      <c r="D131" s="715" t="s">
        <v>362</v>
      </c>
      <c r="E131" s="714">
        <v>75.3</v>
      </c>
      <c r="F131" s="716">
        <f t="shared" si="7"/>
        <v>810.52166999999997</v>
      </c>
      <c r="G131" s="714" t="s">
        <v>343</v>
      </c>
      <c r="H131" s="717">
        <v>3</v>
      </c>
      <c r="I131" s="715" t="str">
        <f>IF('Plot By Plot SoA'!P152=0,"-",'Plot By Plot SoA'!P152)</f>
        <v>-</v>
      </c>
      <c r="J131" s="714" t="s">
        <v>358</v>
      </c>
      <c r="K131" s="715" t="str">
        <f>IF('Plot By Plot SoA'!J152=0,"-",'Plot By Plot SoA'!J152)</f>
        <v>Community Amenity</v>
      </c>
      <c r="L131" s="718" t="s">
        <v>77</v>
      </c>
    </row>
    <row r="132" spans="1:12" x14ac:dyDescent="0.35">
      <c r="A132" s="1676"/>
      <c r="B132" s="714">
        <v>127</v>
      </c>
      <c r="C132" s="714" t="s">
        <v>15</v>
      </c>
      <c r="D132" s="715" t="s">
        <v>361</v>
      </c>
      <c r="E132" s="714">
        <v>75.3</v>
      </c>
      <c r="F132" s="716">
        <f t="shared" si="7"/>
        <v>810.52166999999997</v>
      </c>
      <c r="G132" s="714" t="s">
        <v>343</v>
      </c>
      <c r="H132" s="717">
        <v>3</v>
      </c>
      <c r="I132" s="715" t="str">
        <f>IF('Plot By Plot SoA'!P153=0,"-",'Plot By Plot SoA'!P153)</f>
        <v>-</v>
      </c>
      <c r="J132" s="714" t="s">
        <v>358</v>
      </c>
      <c r="K132" s="715" t="str">
        <f>IF('Plot By Plot SoA'!J153=0,"-",'Plot By Plot SoA'!J153)</f>
        <v>Community Amenity</v>
      </c>
      <c r="L132" s="718" t="s">
        <v>77</v>
      </c>
    </row>
    <row r="133" spans="1:12" x14ac:dyDescent="0.35">
      <c r="A133" s="1676"/>
      <c r="B133" s="714">
        <v>128</v>
      </c>
      <c r="C133" s="714" t="s">
        <v>15</v>
      </c>
      <c r="D133" s="715" t="s">
        <v>361</v>
      </c>
      <c r="E133" s="714">
        <v>70.599999999999994</v>
      </c>
      <c r="F133" s="716">
        <f t="shared" si="7"/>
        <v>759.93133999999986</v>
      </c>
      <c r="G133" s="714" t="s">
        <v>343</v>
      </c>
      <c r="H133" s="717">
        <v>2</v>
      </c>
      <c r="I133" s="715" t="str">
        <f>IF('Plot By Plot SoA'!P154=0,"-",'Plot By Plot SoA'!P154)</f>
        <v>-</v>
      </c>
      <c r="J133" s="714" t="s">
        <v>358</v>
      </c>
      <c r="K133" s="715" t="str">
        <f>IF('Plot By Plot SoA'!J154=0,"-",'Plot By Plot SoA'!J154)</f>
        <v>Community Amenity</v>
      </c>
      <c r="L133" s="718" t="s">
        <v>77</v>
      </c>
    </row>
    <row r="134" spans="1:12" x14ac:dyDescent="0.35">
      <c r="A134" s="1676"/>
      <c r="B134" s="714">
        <v>129</v>
      </c>
      <c r="C134" s="714" t="s">
        <v>15</v>
      </c>
      <c r="D134" s="715" t="s">
        <v>362</v>
      </c>
      <c r="E134" s="714">
        <v>91.4</v>
      </c>
      <c r="F134" s="716">
        <f t="shared" si="7"/>
        <v>983.82046000000003</v>
      </c>
      <c r="G134" s="714" t="s">
        <v>348</v>
      </c>
      <c r="H134" s="717">
        <v>3</v>
      </c>
      <c r="I134" s="715" t="str">
        <f>IF('Plot By Plot SoA'!P155=0,"-",'Plot By Plot SoA'!P155)</f>
        <v>-</v>
      </c>
      <c r="J134" s="714" t="s">
        <v>358</v>
      </c>
      <c r="K134" s="715" t="str">
        <f>IF('Plot By Plot SoA'!J155=0,"-",'Plot By Plot SoA'!J155)</f>
        <v>Roof Terrace</v>
      </c>
      <c r="L134" s="718">
        <v>113</v>
      </c>
    </row>
    <row r="135" spans="1:12" x14ac:dyDescent="0.35">
      <c r="A135" s="1676"/>
      <c r="B135" s="714">
        <v>130</v>
      </c>
      <c r="C135" s="714" t="s">
        <v>15</v>
      </c>
      <c r="D135" s="715" t="s">
        <v>362</v>
      </c>
      <c r="E135" s="719">
        <v>108.2</v>
      </c>
      <c r="F135" s="720">
        <f>SUM(E135*10.7639)</f>
        <v>1164.65398</v>
      </c>
      <c r="G135" s="714" t="s">
        <v>348</v>
      </c>
      <c r="H135" s="717">
        <v>3</v>
      </c>
      <c r="I135" s="715" t="str">
        <f>IF('Plot By Plot SoA'!P156=0,"-",'Plot By Plot SoA'!P156)</f>
        <v>-</v>
      </c>
      <c r="J135" s="714" t="s">
        <v>357</v>
      </c>
      <c r="K135" s="715" t="str">
        <f>IF('Plot By Plot SoA'!J156=0,"-",'Plot By Plot SoA'!J156)</f>
        <v>Roof Terrace</v>
      </c>
      <c r="L135" s="718">
        <v>236</v>
      </c>
    </row>
    <row r="136" spans="1:12" x14ac:dyDescent="0.35">
      <c r="A136" s="1676"/>
      <c r="B136" s="714">
        <v>131</v>
      </c>
      <c r="C136" s="714" t="s">
        <v>15</v>
      </c>
      <c r="D136" s="715" t="s">
        <v>361</v>
      </c>
      <c r="E136" s="719">
        <v>127.5</v>
      </c>
      <c r="F136" s="720">
        <f>SUM(E136*10.7639)</f>
        <v>1372.39725</v>
      </c>
      <c r="G136" s="714" t="s">
        <v>346</v>
      </c>
      <c r="H136" s="717">
        <v>3</v>
      </c>
      <c r="I136" s="715" t="str">
        <f>IF('Plot By Plot SoA'!P158=0,"-",'Plot By Plot SoA'!P158)</f>
        <v>-</v>
      </c>
      <c r="J136" s="714" t="s">
        <v>357</v>
      </c>
      <c r="K136" s="715" t="str">
        <f>IF('Plot By Plot SoA'!J158=0,"-",'Plot By Plot SoA'!J158)</f>
        <v>Frontage Amenity</v>
      </c>
      <c r="L136" s="718">
        <v>72</v>
      </c>
    </row>
    <row r="137" spans="1:12" x14ac:dyDescent="0.35">
      <c r="A137" s="1676"/>
      <c r="B137" s="714">
        <v>132</v>
      </c>
      <c r="C137" s="714" t="s">
        <v>15</v>
      </c>
      <c r="D137" s="715" t="s">
        <v>362</v>
      </c>
      <c r="E137" s="719">
        <v>72.599999999999994</v>
      </c>
      <c r="F137" s="720">
        <f t="shared" ref="F137:F198" si="8">SUM(E137*10.7639)</f>
        <v>781.45913999999993</v>
      </c>
      <c r="G137" s="714" t="s">
        <v>343</v>
      </c>
      <c r="H137" s="717">
        <v>3</v>
      </c>
      <c r="I137" s="715" t="str">
        <f>IF('Plot By Plot SoA'!P160=0,"-",'Plot By Plot SoA'!P160)</f>
        <v>Y</v>
      </c>
      <c r="J137" s="714" t="s">
        <v>358</v>
      </c>
      <c r="K137" s="715" t="str">
        <f>IF('Plot By Plot SoA'!J160=0,"-",'Plot By Plot SoA'!J160)</f>
        <v>Balcony</v>
      </c>
      <c r="L137" s="718">
        <v>51</v>
      </c>
    </row>
    <row r="138" spans="1:12" x14ac:dyDescent="0.35">
      <c r="A138" s="1676"/>
      <c r="B138" s="714">
        <v>133</v>
      </c>
      <c r="C138" s="714" t="s">
        <v>15</v>
      </c>
      <c r="D138" s="715" t="s">
        <v>362</v>
      </c>
      <c r="E138" s="714">
        <v>90</v>
      </c>
      <c r="F138" s="716">
        <f t="shared" si="8"/>
        <v>968.75099999999998</v>
      </c>
      <c r="G138" s="714" t="s">
        <v>344</v>
      </c>
      <c r="H138" s="717">
        <v>3</v>
      </c>
      <c r="I138" s="715" t="str">
        <f>IF('Plot By Plot SoA'!P162=0,"-",'Plot By Plot SoA'!P162)</f>
        <v>-</v>
      </c>
      <c r="J138" s="714" t="s">
        <v>357</v>
      </c>
      <c r="K138" s="715" t="str">
        <f>IF('Plot By Plot SoA'!J162=0,"-",'Plot By Plot SoA'!J162)</f>
        <v>Shared Amenity</v>
      </c>
      <c r="L138" s="718" t="s">
        <v>77</v>
      </c>
    </row>
    <row r="139" spans="1:12" x14ac:dyDescent="0.35">
      <c r="A139" s="1676"/>
      <c r="B139" s="714">
        <v>134</v>
      </c>
      <c r="C139" s="714" t="s">
        <v>15</v>
      </c>
      <c r="D139" s="721" t="s">
        <v>361</v>
      </c>
      <c r="E139" s="714">
        <v>97.1</v>
      </c>
      <c r="F139" s="716">
        <f t="shared" si="8"/>
        <v>1045.1746899999998</v>
      </c>
      <c r="G139" s="714" t="s">
        <v>344</v>
      </c>
      <c r="H139" s="717">
        <v>3</v>
      </c>
      <c r="I139" s="715" t="str">
        <f>IF('Plot By Plot SoA'!P163=0,"-",'Plot By Plot SoA'!P163)</f>
        <v>-</v>
      </c>
      <c r="J139" s="714" t="s">
        <v>357</v>
      </c>
      <c r="K139" s="715" t="str">
        <f>IF('Plot By Plot SoA'!J163=0,"-",'Plot By Plot SoA'!J163)</f>
        <v>Shared Amenity</v>
      </c>
      <c r="L139" s="718" t="s">
        <v>77</v>
      </c>
    </row>
    <row r="140" spans="1:12" x14ac:dyDescent="0.35">
      <c r="A140" s="1676"/>
      <c r="B140" s="714">
        <v>135</v>
      </c>
      <c r="C140" s="714" t="s">
        <v>15</v>
      </c>
      <c r="D140" s="715" t="s">
        <v>361</v>
      </c>
      <c r="E140" s="719">
        <v>91.3</v>
      </c>
      <c r="F140" s="720">
        <f t="shared" si="8"/>
        <v>982.74406999999997</v>
      </c>
      <c r="G140" s="714" t="s">
        <v>348</v>
      </c>
      <c r="H140" s="717">
        <v>3</v>
      </c>
      <c r="I140" s="715" t="str">
        <f>IF('Plot By Plot SoA'!P164=0,"-",'Plot By Plot SoA'!P164)</f>
        <v>-</v>
      </c>
      <c r="J140" s="714" t="s">
        <v>356</v>
      </c>
      <c r="K140" s="715" t="str">
        <f>IF('Plot By Plot SoA'!J164=0,"-",'Plot By Plot SoA'!J164)</f>
        <v>Balcony</v>
      </c>
      <c r="L140" s="718">
        <v>95</v>
      </c>
    </row>
    <row r="141" spans="1:12" x14ac:dyDescent="0.35">
      <c r="A141" s="1676"/>
      <c r="B141" s="714">
        <v>136</v>
      </c>
      <c r="C141" s="714" t="s">
        <v>320</v>
      </c>
      <c r="D141" s="715" t="s">
        <v>320</v>
      </c>
      <c r="E141" s="714">
        <v>88.5</v>
      </c>
      <c r="F141" s="716">
        <f t="shared" si="8"/>
        <v>952.60514999999998</v>
      </c>
      <c r="G141" s="714" t="s">
        <v>343</v>
      </c>
      <c r="H141" s="717">
        <v>2</v>
      </c>
      <c r="I141" s="715" t="str">
        <f>IF('Plot By Plot SoA'!P166=0,"-",'Plot By Plot SoA'!P166)</f>
        <v>-</v>
      </c>
      <c r="J141" s="714" t="s">
        <v>358</v>
      </c>
      <c r="K141" s="715" t="str">
        <f>IF('Plot By Plot SoA'!J166=0,"-",'Plot By Plot SoA'!J166)</f>
        <v>Community Amenity</v>
      </c>
      <c r="L141" s="718" t="s">
        <v>77</v>
      </c>
    </row>
    <row r="142" spans="1:12" x14ac:dyDescent="0.35">
      <c r="A142" s="1676"/>
      <c r="B142" s="714">
        <v>137</v>
      </c>
      <c r="C142" s="714" t="s">
        <v>15</v>
      </c>
      <c r="D142" s="715" t="s">
        <v>362</v>
      </c>
      <c r="E142" s="714">
        <v>89.9</v>
      </c>
      <c r="F142" s="716">
        <f t="shared" si="8"/>
        <v>967.67461000000003</v>
      </c>
      <c r="G142" s="714" t="s">
        <v>348</v>
      </c>
      <c r="H142" s="717">
        <v>3</v>
      </c>
      <c r="I142" s="715" t="str">
        <f>IF('Plot By Plot SoA'!P167=0,"-",'Plot By Plot SoA'!P167)</f>
        <v>-</v>
      </c>
      <c r="J142" s="714" t="s">
        <v>356</v>
      </c>
      <c r="K142" s="715" t="str">
        <f>IF('Plot By Plot SoA'!J167=0,"-",'Plot By Plot SoA'!J167)</f>
        <v>Community Amenity</v>
      </c>
      <c r="L142" s="718" t="s">
        <v>77</v>
      </c>
    </row>
    <row r="143" spans="1:12" x14ac:dyDescent="0.35">
      <c r="A143" s="1676"/>
      <c r="B143" s="714">
        <v>138</v>
      </c>
      <c r="C143" s="714" t="s">
        <v>15</v>
      </c>
      <c r="D143" s="715" t="s">
        <v>361</v>
      </c>
      <c r="E143" s="714">
        <v>90.7</v>
      </c>
      <c r="F143" s="716">
        <f t="shared" si="8"/>
        <v>976.28572999999994</v>
      </c>
      <c r="G143" s="714" t="s">
        <v>343</v>
      </c>
      <c r="H143" s="717">
        <v>4</v>
      </c>
      <c r="I143" s="715" t="str">
        <f>IF('Plot By Plot SoA'!P168=0,"-",'Plot By Plot SoA'!P168)</f>
        <v>-</v>
      </c>
      <c r="J143" s="714" t="s">
        <v>357</v>
      </c>
      <c r="K143" s="715" t="str">
        <f>IF('Plot By Plot SoA'!J168=0,"-",'Plot By Plot SoA'!J168)</f>
        <v>Roof Terrace</v>
      </c>
      <c r="L143" s="718">
        <v>222</v>
      </c>
    </row>
    <row r="144" spans="1:12" x14ac:dyDescent="0.35">
      <c r="A144" s="1676"/>
      <c r="B144" s="714">
        <v>139</v>
      </c>
      <c r="C144" s="714" t="s">
        <v>15</v>
      </c>
      <c r="D144" s="715" t="s">
        <v>362</v>
      </c>
      <c r="E144" s="714">
        <v>90.7</v>
      </c>
      <c r="F144" s="716">
        <f t="shared" si="8"/>
        <v>976.28572999999994</v>
      </c>
      <c r="G144" s="714" t="s">
        <v>343</v>
      </c>
      <c r="H144" s="717">
        <v>4</v>
      </c>
      <c r="I144" s="715" t="str">
        <f>IF('Plot By Plot SoA'!P169=0,"-",'Plot By Plot SoA'!P169)</f>
        <v>-</v>
      </c>
      <c r="J144" s="714" t="s">
        <v>357</v>
      </c>
      <c r="K144" s="715" t="str">
        <f>IF('Plot By Plot SoA'!J169=0,"-",'Plot By Plot SoA'!J169)</f>
        <v>Private Rear Garden</v>
      </c>
      <c r="L144" s="718">
        <v>271</v>
      </c>
    </row>
    <row r="145" spans="1:12" x14ac:dyDescent="0.35">
      <c r="A145" s="1676"/>
      <c r="B145" s="714">
        <v>140</v>
      </c>
      <c r="C145" s="714" t="s">
        <v>15</v>
      </c>
      <c r="D145" s="715" t="s">
        <v>362</v>
      </c>
      <c r="E145" s="714">
        <v>87.6</v>
      </c>
      <c r="F145" s="716">
        <f t="shared" si="8"/>
        <v>942.91763999999989</v>
      </c>
      <c r="G145" s="714" t="s">
        <v>343</v>
      </c>
      <c r="H145" s="717">
        <v>3</v>
      </c>
      <c r="I145" s="715" t="str">
        <f>IF('Plot By Plot SoA'!P170=0,"-",'Plot By Plot SoA'!P170)</f>
        <v>-</v>
      </c>
      <c r="J145" s="714" t="s">
        <v>357</v>
      </c>
      <c r="K145" s="715" t="str">
        <f>IF('Plot By Plot SoA'!J170=0,"-",'Plot By Plot SoA'!J170)</f>
        <v>Private Rear Garden</v>
      </c>
      <c r="L145" s="718">
        <v>237</v>
      </c>
    </row>
    <row r="146" spans="1:12" x14ac:dyDescent="0.35">
      <c r="A146" s="1676"/>
      <c r="B146" s="714">
        <v>141</v>
      </c>
      <c r="C146" s="714" t="s">
        <v>15</v>
      </c>
      <c r="D146" s="715" t="s">
        <v>362</v>
      </c>
      <c r="E146" s="714">
        <v>97.3</v>
      </c>
      <c r="F146" s="716">
        <f t="shared" si="8"/>
        <v>1047.3274699999999</v>
      </c>
      <c r="G146" s="714" t="s">
        <v>344</v>
      </c>
      <c r="H146" s="717">
        <v>3</v>
      </c>
      <c r="I146" s="715" t="str">
        <f>IF('Plot By Plot SoA'!P171=0,"-",'Plot By Plot SoA'!P171)</f>
        <v>-</v>
      </c>
      <c r="J146" s="714" t="s">
        <v>357</v>
      </c>
      <c r="K146" s="715" t="str">
        <f>IF('Plot By Plot SoA'!J171=0,"-",'Plot By Plot SoA'!J171)</f>
        <v>Shared Amenity</v>
      </c>
      <c r="L146" s="718" t="s">
        <v>77</v>
      </c>
    </row>
    <row r="147" spans="1:12" x14ac:dyDescent="0.35">
      <c r="A147" s="1677"/>
      <c r="B147" s="714">
        <v>142</v>
      </c>
      <c r="C147" s="714" t="s">
        <v>15</v>
      </c>
      <c r="D147" s="715" t="s">
        <v>361</v>
      </c>
      <c r="E147" s="714">
        <v>89</v>
      </c>
      <c r="F147" s="716">
        <f t="shared" si="8"/>
        <v>957.98709999999994</v>
      </c>
      <c r="G147" s="714" t="s">
        <v>345</v>
      </c>
      <c r="H147" s="717">
        <v>3</v>
      </c>
      <c r="I147" s="715" t="str">
        <f>IF('Plot By Plot SoA'!P172=0,"-",'Plot By Plot SoA'!P172)</f>
        <v>-</v>
      </c>
      <c r="J147" s="714" t="s">
        <v>358</v>
      </c>
      <c r="K147" s="715" t="str">
        <f>IF('Plot By Plot SoA'!J172=0,"-",'Plot By Plot SoA'!J172)</f>
        <v>Community Amenity</v>
      </c>
      <c r="L147" s="718" t="s">
        <v>77</v>
      </c>
    </row>
    <row r="148" spans="1:12" x14ac:dyDescent="0.35">
      <c r="A148" s="1652" t="s">
        <v>25</v>
      </c>
      <c r="B148" s="722">
        <v>143</v>
      </c>
      <c r="C148" s="722" t="s">
        <v>342</v>
      </c>
      <c r="D148" s="723" t="s">
        <v>370</v>
      </c>
      <c r="E148" s="724">
        <v>38.200000000000003</v>
      </c>
      <c r="F148" s="725">
        <f t="shared" si="8"/>
        <v>411.18098000000003</v>
      </c>
      <c r="G148" s="722" t="s">
        <v>347</v>
      </c>
      <c r="H148" s="726">
        <v>1</v>
      </c>
      <c r="I148" s="723" t="str">
        <f>IF('Plot By Plot SoA'!P173=0,"-",'Plot By Plot SoA'!P173)</f>
        <v>-</v>
      </c>
      <c r="J148" s="722" t="s">
        <v>358</v>
      </c>
      <c r="K148" s="723" t="str">
        <f>IF('Plot By Plot SoA'!J173=0,"-",'Plot By Plot SoA'!J173)</f>
        <v>Shared Garden</v>
      </c>
      <c r="L148" s="727" t="s">
        <v>77</v>
      </c>
    </row>
    <row r="149" spans="1:12" x14ac:dyDescent="0.35">
      <c r="A149" s="1653"/>
      <c r="B149" s="722">
        <v>144</v>
      </c>
      <c r="C149" s="722" t="s">
        <v>342</v>
      </c>
      <c r="D149" s="723" t="s">
        <v>370</v>
      </c>
      <c r="E149" s="728">
        <v>52.1</v>
      </c>
      <c r="F149" s="729">
        <f t="shared" si="8"/>
        <v>560.79918999999995</v>
      </c>
      <c r="G149" s="722" t="s">
        <v>347</v>
      </c>
      <c r="H149" s="726">
        <v>1</v>
      </c>
      <c r="I149" s="723" t="str">
        <f>IF('Plot By Plot SoA'!P174=0,"-",'Plot By Plot SoA'!P174)</f>
        <v>-</v>
      </c>
      <c r="J149" s="722" t="s">
        <v>358</v>
      </c>
      <c r="K149" s="723" t="str">
        <f>IF('Plot By Plot SoA'!J174=0,"-",'Plot By Plot SoA'!J174)</f>
        <v>Shared Garden</v>
      </c>
      <c r="L149" s="727" t="s">
        <v>77</v>
      </c>
    </row>
    <row r="150" spans="1:12" x14ac:dyDescent="0.35">
      <c r="A150" s="1653"/>
      <c r="B150" s="722">
        <v>145</v>
      </c>
      <c r="C150" s="722" t="s">
        <v>17</v>
      </c>
      <c r="D150" s="723" t="s">
        <v>371</v>
      </c>
      <c r="E150" s="728">
        <v>38.200000000000003</v>
      </c>
      <c r="F150" s="729">
        <f t="shared" si="8"/>
        <v>411.18098000000003</v>
      </c>
      <c r="G150" s="722" t="s">
        <v>347</v>
      </c>
      <c r="H150" s="730">
        <v>1</v>
      </c>
      <c r="I150" s="723" t="str">
        <f>IF('Plot By Plot SoA'!P175=0,"-",'Plot By Plot SoA'!P175)</f>
        <v>-</v>
      </c>
      <c r="J150" s="722" t="s">
        <v>358</v>
      </c>
      <c r="K150" s="723" t="str">
        <f>IF('Plot By Plot SoA'!J175=0,"-",'Plot By Plot SoA'!J175)</f>
        <v>Balcony</v>
      </c>
      <c r="L150" s="727">
        <v>155</v>
      </c>
    </row>
    <row r="151" spans="1:12" x14ac:dyDescent="0.35">
      <c r="A151" s="1653"/>
      <c r="B151" s="722">
        <v>146</v>
      </c>
      <c r="C151" s="722" t="s">
        <v>17</v>
      </c>
      <c r="D151" s="723" t="s">
        <v>371</v>
      </c>
      <c r="E151" s="728">
        <v>52.1</v>
      </c>
      <c r="F151" s="729">
        <f t="shared" si="8"/>
        <v>560.79918999999995</v>
      </c>
      <c r="G151" s="722" t="s">
        <v>347</v>
      </c>
      <c r="H151" s="726">
        <v>1</v>
      </c>
      <c r="I151" s="723" t="str">
        <f>IF('Plot By Plot SoA'!P176=0,"-",'Plot By Plot SoA'!P176)</f>
        <v>-</v>
      </c>
      <c r="J151" s="722" t="s">
        <v>358</v>
      </c>
      <c r="K151" s="723" t="str">
        <f>IF('Plot By Plot SoA'!J176=0,"-",'Plot By Plot SoA'!J176)</f>
        <v>Shared Garden</v>
      </c>
      <c r="L151" s="727" t="s">
        <v>77</v>
      </c>
    </row>
    <row r="152" spans="1:12" x14ac:dyDescent="0.35">
      <c r="A152" s="1653"/>
      <c r="B152" s="722">
        <v>147</v>
      </c>
      <c r="C152" s="722" t="s">
        <v>17</v>
      </c>
      <c r="D152" s="723" t="s">
        <v>372</v>
      </c>
      <c r="E152" s="728">
        <v>38.200000000000003</v>
      </c>
      <c r="F152" s="729">
        <f t="shared" si="8"/>
        <v>411.18098000000003</v>
      </c>
      <c r="G152" s="722" t="s">
        <v>347</v>
      </c>
      <c r="H152" s="726">
        <v>1</v>
      </c>
      <c r="I152" s="723" t="str">
        <f>IF('Plot By Plot SoA'!P177=0,"-",'Plot By Plot SoA'!P177)</f>
        <v>-</v>
      </c>
      <c r="J152" s="722" t="s">
        <v>358</v>
      </c>
      <c r="K152" s="723" t="str">
        <f>IF('Plot By Plot SoA'!J177=0,"-",'Plot By Plot SoA'!J177)</f>
        <v>Balcony</v>
      </c>
      <c r="L152" s="727">
        <v>76</v>
      </c>
    </row>
    <row r="153" spans="1:12" x14ac:dyDescent="0.35">
      <c r="A153" s="1653"/>
      <c r="B153" s="722">
        <v>148</v>
      </c>
      <c r="C153" s="722" t="s">
        <v>17</v>
      </c>
      <c r="D153" s="723" t="s">
        <v>372</v>
      </c>
      <c r="E153" s="728">
        <v>52.1</v>
      </c>
      <c r="F153" s="729">
        <f t="shared" si="8"/>
        <v>560.79918999999995</v>
      </c>
      <c r="G153" s="722" t="s">
        <v>347</v>
      </c>
      <c r="H153" s="730">
        <v>1</v>
      </c>
      <c r="I153" s="723" t="str">
        <f>IF('Plot By Plot SoA'!P178=0,"-",'Plot By Plot SoA'!P178)</f>
        <v>-</v>
      </c>
      <c r="J153" s="722" t="s">
        <v>358</v>
      </c>
      <c r="K153" s="723" t="str">
        <f>IF('Plot By Plot SoA'!J178=0,"-",'Plot By Plot SoA'!J178)</f>
        <v>Shared Garden</v>
      </c>
      <c r="L153" s="727" t="s">
        <v>77</v>
      </c>
    </row>
    <row r="154" spans="1:12" x14ac:dyDescent="0.35">
      <c r="A154" s="1653"/>
      <c r="B154" s="722">
        <v>149</v>
      </c>
      <c r="C154" s="722" t="s">
        <v>16</v>
      </c>
      <c r="D154" s="723" t="s">
        <v>373</v>
      </c>
      <c r="E154" s="728">
        <v>70</v>
      </c>
      <c r="F154" s="729">
        <f t="shared" si="8"/>
        <v>753.47299999999996</v>
      </c>
      <c r="G154" s="722" t="s">
        <v>343</v>
      </c>
      <c r="H154" s="731">
        <v>2</v>
      </c>
      <c r="I154" s="723" t="str">
        <f>IF('Plot By Plot SoA'!P179=0,"-",'Plot By Plot SoA'!P179)</f>
        <v>-</v>
      </c>
      <c r="J154" s="722" t="s">
        <v>358</v>
      </c>
      <c r="K154" s="723" t="str">
        <f>IF('Plot By Plot SoA'!J179=0,"-",'Plot By Plot SoA'!J179)</f>
        <v>Shared Garden</v>
      </c>
      <c r="L154" s="727" t="s">
        <v>77</v>
      </c>
    </row>
    <row r="155" spans="1:12" x14ac:dyDescent="0.35">
      <c r="A155" s="1653"/>
      <c r="B155" s="722">
        <v>150</v>
      </c>
      <c r="C155" s="722" t="s">
        <v>17</v>
      </c>
      <c r="D155" s="723" t="s">
        <v>374</v>
      </c>
      <c r="E155" s="728">
        <v>38.200000000000003</v>
      </c>
      <c r="F155" s="729">
        <f t="shared" si="8"/>
        <v>411.18098000000003</v>
      </c>
      <c r="G155" s="722" t="s">
        <v>347</v>
      </c>
      <c r="H155" s="731">
        <v>1</v>
      </c>
      <c r="I155" s="723" t="str">
        <f>IF('Plot By Plot SoA'!P180=0,"-",'Plot By Plot SoA'!P180)</f>
        <v>-</v>
      </c>
      <c r="J155" s="722" t="s">
        <v>358</v>
      </c>
      <c r="K155" s="723" t="str">
        <f>IF('Plot By Plot SoA'!J180=0,"-",'Plot By Plot SoA'!J180)</f>
        <v>Balcony</v>
      </c>
      <c r="L155" s="727">
        <v>76</v>
      </c>
    </row>
    <row r="156" spans="1:12" x14ac:dyDescent="0.35">
      <c r="A156" s="1653"/>
      <c r="B156" s="722">
        <v>151</v>
      </c>
      <c r="C156" s="722" t="s">
        <v>17</v>
      </c>
      <c r="D156" s="723" t="s">
        <v>374</v>
      </c>
      <c r="E156" s="728">
        <v>52.1</v>
      </c>
      <c r="F156" s="729">
        <f t="shared" si="8"/>
        <v>560.79918999999995</v>
      </c>
      <c r="G156" s="722" t="s">
        <v>347</v>
      </c>
      <c r="H156" s="726">
        <v>1</v>
      </c>
      <c r="I156" s="723" t="str">
        <f>IF('Plot By Plot SoA'!P181=0,"-",'Plot By Plot SoA'!P181)</f>
        <v>-</v>
      </c>
      <c r="J156" s="722" t="s">
        <v>358</v>
      </c>
      <c r="K156" s="723" t="str">
        <f>IF('Plot By Plot SoA'!J181=0,"-",'Plot By Plot SoA'!J181)</f>
        <v>Shared Garden</v>
      </c>
      <c r="L156" s="727" t="s">
        <v>77</v>
      </c>
    </row>
    <row r="157" spans="1:12" x14ac:dyDescent="0.35">
      <c r="A157" s="1653"/>
      <c r="B157" s="722">
        <v>152</v>
      </c>
      <c r="C157" s="722" t="s">
        <v>17</v>
      </c>
      <c r="D157" s="723" t="s">
        <v>375</v>
      </c>
      <c r="E157" s="728">
        <v>38.200000000000003</v>
      </c>
      <c r="F157" s="729">
        <f t="shared" si="8"/>
        <v>411.18098000000003</v>
      </c>
      <c r="G157" s="722" t="s">
        <v>347</v>
      </c>
      <c r="H157" s="730">
        <v>1</v>
      </c>
      <c r="I157" s="723" t="str">
        <f>IF('Plot By Plot SoA'!P182=0,"-",'Plot By Plot SoA'!P182)</f>
        <v>-</v>
      </c>
      <c r="J157" s="722" t="s">
        <v>358</v>
      </c>
      <c r="K157" s="723" t="str">
        <f>IF('Plot By Plot SoA'!J182=0,"-",'Plot By Plot SoA'!J182)</f>
        <v>Balcony</v>
      </c>
      <c r="L157" s="727">
        <v>76</v>
      </c>
    </row>
    <row r="158" spans="1:12" x14ac:dyDescent="0.35">
      <c r="A158" s="1653"/>
      <c r="B158" s="722">
        <v>153</v>
      </c>
      <c r="C158" s="722" t="s">
        <v>17</v>
      </c>
      <c r="D158" s="723" t="s">
        <v>375</v>
      </c>
      <c r="E158" s="728">
        <v>49.8</v>
      </c>
      <c r="F158" s="729">
        <f t="shared" si="8"/>
        <v>536.04221999999993</v>
      </c>
      <c r="G158" s="722" t="s">
        <v>347</v>
      </c>
      <c r="H158" s="731">
        <v>1</v>
      </c>
      <c r="I158" s="723" t="str">
        <f>IF('Plot By Plot SoA'!P183=0,"-",'Plot By Plot SoA'!P183)</f>
        <v>-</v>
      </c>
      <c r="J158" s="722" t="s">
        <v>358</v>
      </c>
      <c r="K158" s="723" t="str">
        <f>IF('Plot By Plot SoA'!J183=0,"-",'Plot By Plot SoA'!J183)</f>
        <v>Shared Garden</v>
      </c>
      <c r="L158" s="727" t="s">
        <v>77</v>
      </c>
    </row>
    <row r="159" spans="1:12" x14ac:dyDescent="0.35">
      <c r="A159" s="1653"/>
      <c r="B159" s="722">
        <v>154</v>
      </c>
      <c r="C159" s="722" t="s">
        <v>17</v>
      </c>
      <c r="D159" s="723" t="s">
        <v>376</v>
      </c>
      <c r="E159" s="728">
        <v>37.200000000000003</v>
      </c>
      <c r="F159" s="729">
        <f t="shared" si="8"/>
        <v>400.41708</v>
      </c>
      <c r="G159" s="722" t="s">
        <v>347</v>
      </c>
      <c r="H159" s="731">
        <v>1</v>
      </c>
      <c r="I159" s="723" t="str">
        <f>IF('Plot By Plot SoA'!P184=0,"-",'Plot By Plot SoA'!P184)</f>
        <v>-</v>
      </c>
      <c r="J159" s="722" t="s">
        <v>358</v>
      </c>
      <c r="K159" s="723" t="str">
        <f>IF('Plot By Plot SoA'!J184=0,"-",'Plot By Plot SoA'!J184)</f>
        <v>Balcony</v>
      </c>
      <c r="L159" s="727">
        <v>44</v>
      </c>
    </row>
    <row r="160" spans="1:12" x14ac:dyDescent="0.35">
      <c r="A160" s="1653"/>
      <c r="B160" s="722">
        <v>155</v>
      </c>
      <c r="C160" s="722" t="s">
        <v>17</v>
      </c>
      <c r="D160" s="723" t="s">
        <v>376</v>
      </c>
      <c r="E160" s="728">
        <v>49.8</v>
      </c>
      <c r="F160" s="729">
        <f t="shared" si="8"/>
        <v>536.04221999999993</v>
      </c>
      <c r="G160" s="722" t="s">
        <v>347</v>
      </c>
      <c r="H160" s="731">
        <v>1</v>
      </c>
      <c r="I160" s="723" t="str">
        <f>IF('Plot By Plot SoA'!P185=0,"-",'Plot By Plot SoA'!P185)</f>
        <v>-</v>
      </c>
      <c r="J160" s="722" t="s">
        <v>358</v>
      </c>
      <c r="K160" s="723" t="str">
        <f>IF('Plot By Plot SoA'!J185=0,"-",'Plot By Plot SoA'!J185)</f>
        <v>Shared Garden</v>
      </c>
      <c r="L160" s="727" t="s">
        <v>77</v>
      </c>
    </row>
    <row r="161" spans="1:12" x14ac:dyDescent="0.35">
      <c r="A161" s="1653"/>
      <c r="B161" s="722">
        <v>156</v>
      </c>
      <c r="C161" s="722" t="s">
        <v>51</v>
      </c>
      <c r="D161" s="723" t="s">
        <v>368</v>
      </c>
      <c r="E161" s="728">
        <v>70.099999999999994</v>
      </c>
      <c r="F161" s="729">
        <f t="shared" si="8"/>
        <v>754.5493899999999</v>
      </c>
      <c r="G161" s="722" t="s">
        <v>343</v>
      </c>
      <c r="H161" s="726">
        <v>2</v>
      </c>
      <c r="I161" s="723" t="str">
        <f>IF('Plot By Plot SoA'!P186=0,"-",'Plot By Plot SoA'!P186)</f>
        <v>-</v>
      </c>
      <c r="J161" s="722" t="s">
        <v>358</v>
      </c>
      <c r="K161" s="723" t="str">
        <f>IF('Plot By Plot SoA'!J186=0,"-",'Plot By Plot SoA'!J186)</f>
        <v>Shared Garden</v>
      </c>
      <c r="L161" s="727" t="s">
        <v>77</v>
      </c>
    </row>
    <row r="162" spans="1:12" x14ac:dyDescent="0.35">
      <c r="A162" s="1653"/>
      <c r="B162" s="722">
        <v>157</v>
      </c>
      <c r="C162" s="722" t="s">
        <v>51</v>
      </c>
      <c r="D162" s="723" t="s">
        <v>368</v>
      </c>
      <c r="E162" s="728">
        <v>49</v>
      </c>
      <c r="F162" s="729">
        <f t="shared" si="8"/>
        <v>527.43110000000001</v>
      </c>
      <c r="G162" s="722" t="s">
        <v>347</v>
      </c>
      <c r="H162" s="726">
        <v>2</v>
      </c>
      <c r="I162" s="723" t="str">
        <f>IF('Plot By Plot SoA'!P187=0,"-",'Plot By Plot SoA'!P187)</f>
        <v>-</v>
      </c>
      <c r="J162" s="722" t="s">
        <v>358</v>
      </c>
      <c r="K162" s="723" t="str">
        <f>IF('Plot By Plot SoA'!J187=0,"-",'Plot By Plot SoA'!J187)</f>
        <v>Community Amenity</v>
      </c>
      <c r="L162" s="727" t="s">
        <v>77</v>
      </c>
    </row>
    <row r="163" spans="1:12" x14ac:dyDescent="0.35">
      <c r="A163" s="1653"/>
      <c r="B163" s="722">
        <v>158</v>
      </c>
      <c r="C163" s="722" t="s">
        <v>16</v>
      </c>
      <c r="D163" s="723" t="s">
        <v>369</v>
      </c>
      <c r="E163" s="728">
        <v>49</v>
      </c>
      <c r="F163" s="729">
        <f t="shared" si="8"/>
        <v>527.43110000000001</v>
      </c>
      <c r="G163" s="722" t="s">
        <v>347</v>
      </c>
      <c r="H163" s="726">
        <v>2</v>
      </c>
      <c r="I163" s="723" t="str">
        <f>IF('Plot By Plot SoA'!P188=0,"-",'Plot By Plot SoA'!P188)</f>
        <v>-</v>
      </c>
      <c r="J163" s="722" t="s">
        <v>358</v>
      </c>
      <c r="K163" s="723" t="str">
        <f>IF('Plot By Plot SoA'!J188=0,"-",'Plot By Plot SoA'!J188)</f>
        <v>Roof Terrace</v>
      </c>
      <c r="L163" s="727">
        <v>57</v>
      </c>
    </row>
    <row r="164" spans="1:12" x14ac:dyDescent="0.35">
      <c r="A164" s="1653"/>
      <c r="B164" s="722">
        <v>159</v>
      </c>
      <c r="C164" s="722" t="s">
        <v>16</v>
      </c>
      <c r="D164" s="723" t="s">
        <v>369</v>
      </c>
      <c r="E164" s="728">
        <v>85.2</v>
      </c>
      <c r="F164" s="729">
        <f t="shared" si="8"/>
        <v>917.08428000000004</v>
      </c>
      <c r="G164" s="722" t="s">
        <v>345</v>
      </c>
      <c r="H164" s="731">
        <v>2</v>
      </c>
      <c r="I164" s="723" t="str">
        <f>IF('Plot By Plot SoA'!P189=0,"-",'Plot By Plot SoA'!P189)</f>
        <v>-</v>
      </c>
      <c r="J164" s="722" t="s">
        <v>358</v>
      </c>
      <c r="K164" s="723" t="str">
        <f>IF('Plot By Plot SoA'!J189=0,"-",'Plot By Plot SoA'!J189)</f>
        <v>Roof Terrace</v>
      </c>
      <c r="L164" s="727">
        <v>57</v>
      </c>
    </row>
    <row r="165" spans="1:12" x14ac:dyDescent="0.35">
      <c r="A165" s="1653"/>
      <c r="B165" s="722">
        <v>160</v>
      </c>
      <c r="C165" s="722" t="s">
        <v>51</v>
      </c>
      <c r="D165" s="723" t="s">
        <v>368</v>
      </c>
      <c r="E165" s="728">
        <v>83.8</v>
      </c>
      <c r="F165" s="729">
        <f t="shared" si="8"/>
        <v>902.01481999999999</v>
      </c>
      <c r="G165" s="722" t="s">
        <v>345</v>
      </c>
      <c r="H165" s="731">
        <v>2</v>
      </c>
      <c r="I165" s="723" t="str">
        <f>IF('Plot By Plot SoA'!P190=0,"-",'Plot By Plot SoA'!P190)</f>
        <v>-</v>
      </c>
      <c r="J165" s="722" t="s">
        <v>358</v>
      </c>
      <c r="K165" s="723" t="str">
        <f>IF('Plot By Plot SoA'!J190=0,"-",'Plot By Plot SoA'!J190)</f>
        <v>Community Amenity</v>
      </c>
      <c r="L165" s="727" t="s">
        <v>77</v>
      </c>
    </row>
    <row r="166" spans="1:12" x14ac:dyDescent="0.35">
      <c r="A166" s="1653"/>
      <c r="B166" s="722">
        <v>161</v>
      </c>
      <c r="C166" s="722" t="s">
        <v>51</v>
      </c>
      <c r="D166" s="723" t="s">
        <v>368</v>
      </c>
      <c r="E166" s="728">
        <v>79.599999999999994</v>
      </c>
      <c r="F166" s="729">
        <f t="shared" si="8"/>
        <v>856.80643999999995</v>
      </c>
      <c r="G166" s="722" t="s">
        <v>345</v>
      </c>
      <c r="H166" s="731">
        <v>2</v>
      </c>
      <c r="I166" s="723" t="str">
        <f>IF('Plot By Plot SoA'!P191=0,"-",'Plot By Plot SoA'!P191)</f>
        <v>-</v>
      </c>
      <c r="J166" s="722" t="s">
        <v>358</v>
      </c>
      <c r="K166" s="723" t="str">
        <f>IF('Plot By Plot SoA'!J191=0,"-",'Plot By Plot SoA'!J191)</f>
        <v>Private Front Garden</v>
      </c>
      <c r="L166" s="727">
        <v>64</v>
      </c>
    </row>
    <row r="167" spans="1:12" x14ac:dyDescent="0.35">
      <c r="A167" s="1653"/>
      <c r="B167" s="722">
        <v>162</v>
      </c>
      <c r="C167" s="722" t="s">
        <v>17</v>
      </c>
      <c r="D167" s="723" t="s">
        <v>372</v>
      </c>
      <c r="E167" s="728">
        <v>79.599999999999994</v>
      </c>
      <c r="F167" s="729">
        <f t="shared" si="8"/>
        <v>856.80643999999995</v>
      </c>
      <c r="G167" s="722" t="s">
        <v>345</v>
      </c>
      <c r="H167" s="731">
        <v>2</v>
      </c>
      <c r="I167" s="723" t="str">
        <f>IF('Plot By Plot SoA'!P192=0,"-",'Plot By Plot SoA'!P192)</f>
        <v>-</v>
      </c>
      <c r="J167" s="722" t="s">
        <v>358</v>
      </c>
      <c r="K167" s="723" t="str">
        <f>IF('Plot By Plot SoA'!J192=0,"-",'Plot By Plot SoA'!J192)</f>
        <v>Roof Terrace</v>
      </c>
      <c r="L167" s="727">
        <v>57</v>
      </c>
    </row>
    <row r="168" spans="1:12" x14ac:dyDescent="0.35">
      <c r="A168" s="1653"/>
      <c r="B168" s="722">
        <v>163</v>
      </c>
      <c r="C168" s="722" t="s">
        <v>17</v>
      </c>
      <c r="D168" s="723" t="s">
        <v>372</v>
      </c>
      <c r="E168" s="728">
        <v>80</v>
      </c>
      <c r="F168" s="729">
        <f t="shared" si="8"/>
        <v>861.11199999999997</v>
      </c>
      <c r="G168" s="722" t="s">
        <v>343</v>
      </c>
      <c r="H168" s="731">
        <v>2</v>
      </c>
      <c r="I168" s="723" t="str">
        <f>IF('Plot By Plot SoA'!P193=0,"-",'Plot By Plot SoA'!P193)</f>
        <v>Y</v>
      </c>
      <c r="J168" s="722" t="s">
        <v>358</v>
      </c>
      <c r="K168" s="723" t="str">
        <f>IF('Plot By Plot SoA'!J193=0,"-",'Plot By Plot SoA'!J193)</f>
        <v>Roof Terrace</v>
      </c>
      <c r="L168" s="727">
        <v>57</v>
      </c>
    </row>
    <row r="169" spans="1:12" x14ac:dyDescent="0.35">
      <c r="A169" s="1654" t="s">
        <v>26</v>
      </c>
      <c r="B169" s="660">
        <v>164</v>
      </c>
      <c r="C169" s="660" t="s">
        <v>51</v>
      </c>
      <c r="D169" s="661" t="s">
        <v>368</v>
      </c>
      <c r="E169" s="662">
        <v>80</v>
      </c>
      <c r="F169" s="663">
        <f t="shared" si="8"/>
        <v>861.11199999999997</v>
      </c>
      <c r="G169" s="660" t="s">
        <v>345</v>
      </c>
      <c r="H169" s="664">
        <v>2</v>
      </c>
      <c r="I169" s="661" t="str">
        <f>IF('Plot By Plot SoA'!P194=0,"-",'Plot By Plot SoA'!P194)</f>
        <v>-</v>
      </c>
      <c r="J169" s="660" t="s">
        <v>357</v>
      </c>
      <c r="K169" s="661" t="str">
        <f>IF('Plot By Plot SoA'!J194=0,"-",'Plot By Plot SoA'!J194)</f>
        <v>Community Amenity</v>
      </c>
      <c r="L169" s="665" t="s">
        <v>77</v>
      </c>
    </row>
    <row r="170" spans="1:12" x14ac:dyDescent="0.35">
      <c r="A170" s="1655"/>
      <c r="B170" s="660">
        <v>165</v>
      </c>
      <c r="C170" s="660" t="s">
        <v>342</v>
      </c>
      <c r="D170" s="661" t="s">
        <v>370</v>
      </c>
      <c r="E170" s="662">
        <v>43.2</v>
      </c>
      <c r="F170" s="663">
        <f t="shared" si="8"/>
        <v>465.00048000000004</v>
      </c>
      <c r="G170" s="660" t="s">
        <v>347</v>
      </c>
      <c r="H170" s="664">
        <v>1</v>
      </c>
      <c r="I170" s="661" t="str">
        <f>IF('Plot By Plot SoA'!P195=0,"-",'Plot By Plot SoA'!P195)</f>
        <v>-</v>
      </c>
      <c r="J170" s="660" t="s">
        <v>358</v>
      </c>
      <c r="K170" s="661" t="str">
        <f>IF('Plot By Plot SoA'!J195=0,"-",'Plot By Plot SoA'!J195)</f>
        <v>Community Amenity</v>
      </c>
      <c r="L170" s="665" t="s">
        <v>77</v>
      </c>
    </row>
    <row r="171" spans="1:12" x14ac:dyDescent="0.35">
      <c r="A171" s="1655"/>
      <c r="B171" s="660">
        <v>166</v>
      </c>
      <c r="C171" s="660" t="s">
        <v>17</v>
      </c>
      <c r="D171" s="661" t="s">
        <v>387</v>
      </c>
      <c r="E171" s="662">
        <v>71.7</v>
      </c>
      <c r="F171" s="663">
        <f t="shared" si="8"/>
        <v>771.77162999999996</v>
      </c>
      <c r="G171" s="660" t="s">
        <v>345</v>
      </c>
      <c r="H171" s="664">
        <v>1</v>
      </c>
      <c r="I171" s="661" t="str">
        <f>IF('Plot By Plot SoA'!P196=0,"-",'Plot By Plot SoA'!P196)</f>
        <v>-</v>
      </c>
      <c r="J171" s="660" t="s">
        <v>357</v>
      </c>
      <c r="K171" s="661" t="str">
        <f>IF('Plot By Plot SoA'!J196=0,"-",'Plot By Plot SoA'!J196)</f>
        <v>Private Front Garden</v>
      </c>
      <c r="L171" s="665">
        <v>76</v>
      </c>
    </row>
    <row r="172" spans="1:12" x14ac:dyDescent="0.35">
      <c r="A172" s="1655"/>
      <c r="B172" s="660">
        <v>167</v>
      </c>
      <c r="C172" s="660" t="s">
        <v>17</v>
      </c>
      <c r="D172" s="661" t="s">
        <v>371</v>
      </c>
      <c r="E172" s="662">
        <v>52.3</v>
      </c>
      <c r="F172" s="663">
        <f t="shared" si="8"/>
        <v>562.95196999999996</v>
      </c>
      <c r="G172" s="660" t="s">
        <v>347</v>
      </c>
      <c r="H172" s="664">
        <v>1</v>
      </c>
      <c r="I172" s="661" t="str">
        <f>IF('Plot By Plot SoA'!P197=0,"-",'Plot By Plot SoA'!P197)</f>
        <v>-</v>
      </c>
      <c r="J172" s="660" t="s">
        <v>358</v>
      </c>
      <c r="K172" s="661" t="str">
        <f>IF('Plot By Plot SoA'!J197=0,"-",'Plot By Plot SoA'!J197)</f>
        <v>Community Amenity</v>
      </c>
      <c r="L172" s="665" t="s">
        <v>77</v>
      </c>
    </row>
    <row r="173" spans="1:12" x14ac:dyDescent="0.35">
      <c r="A173" s="1655"/>
      <c r="B173" s="660">
        <v>168</v>
      </c>
      <c r="C173" s="660" t="s">
        <v>17</v>
      </c>
      <c r="D173" s="661" t="s">
        <v>371</v>
      </c>
      <c r="E173" s="662">
        <v>71.7</v>
      </c>
      <c r="F173" s="663">
        <f t="shared" si="8"/>
        <v>771.77162999999996</v>
      </c>
      <c r="G173" s="660" t="s">
        <v>345</v>
      </c>
      <c r="H173" s="664">
        <v>1</v>
      </c>
      <c r="I173" s="661" t="str">
        <f>IF('Plot By Plot SoA'!P198=0,"-",'Plot By Plot SoA'!P198)</f>
        <v>-</v>
      </c>
      <c r="J173" s="660" t="s">
        <v>358</v>
      </c>
      <c r="K173" s="661" t="str">
        <f>IF('Plot By Plot SoA'!J198=0,"-",'Plot By Plot SoA'!J198)</f>
        <v>Balcony</v>
      </c>
      <c r="L173" s="665">
        <v>128</v>
      </c>
    </row>
    <row r="174" spans="1:12" x14ac:dyDescent="0.35">
      <c r="A174" s="1655"/>
      <c r="B174" s="660">
        <v>169</v>
      </c>
      <c r="C174" s="660" t="s">
        <v>17</v>
      </c>
      <c r="D174" s="661" t="s">
        <v>372</v>
      </c>
      <c r="E174" s="662">
        <v>52.3</v>
      </c>
      <c r="F174" s="663">
        <f t="shared" si="8"/>
        <v>562.95196999999996</v>
      </c>
      <c r="G174" s="660" t="s">
        <v>347</v>
      </c>
      <c r="H174" s="664">
        <v>1</v>
      </c>
      <c r="I174" s="661" t="str">
        <f>IF('Plot By Plot SoA'!P199=0,"-",'Plot By Plot SoA'!P199)</f>
        <v>-</v>
      </c>
      <c r="J174" s="660" t="s">
        <v>358</v>
      </c>
      <c r="K174" s="661" t="str">
        <f>IF('Plot By Plot SoA'!J199=0,"-",'Plot By Plot SoA'!J199)</f>
        <v>Community Amenity</v>
      </c>
      <c r="L174" s="665" t="s">
        <v>77</v>
      </c>
    </row>
    <row r="175" spans="1:12" x14ac:dyDescent="0.35">
      <c r="A175" s="1655"/>
      <c r="B175" s="660">
        <v>170</v>
      </c>
      <c r="C175" s="660" t="s">
        <v>17</v>
      </c>
      <c r="D175" s="661" t="s">
        <v>372</v>
      </c>
      <c r="E175" s="662">
        <v>71.7</v>
      </c>
      <c r="F175" s="663">
        <f t="shared" si="8"/>
        <v>771.77162999999996</v>
      </c>
      <c r="G175" s="660" t="s">
        <v>345</v>
      </c>
      <c r="H175" s="664">
        <v>1</v>
      </c>
      <c r="I175" s="661" t="str">
        <f>IF('Plot By Plot SoA'!P200=0,"-",'Plot By Plot SoA'!P200)</f>
        <v>-</v>
      </c>
      <c r="J175" s="660" t="s">
        <v>358</v>
      </c>
      <c r="K175" s="661" t="str">
        <f>IF('Plot By Plot SoA'!J200=0,"-",'Plot By Plot SoA'!J200)</f>
        <v>Balcony</v>
      </c>
      <c r="L175" s="665">
        <v>76</v>
      </c>
    </row>
    <row r="176" spans="1:12" x14ac:dyDescent="0.35">
      <c r="A176" s="1655"/>
      <c r="B176" s="660">
        <v>171</v>
      </c>
      <c r="C176" s="660" t="s">
        <v>17</v>
      </c>
      <c r="D176" s="661" t="s">
        <v>374</v>
      </c>
      <c r="E176" s="662">
        <v>52.3</v>
      </c>
      <c r="F176" s="663">
        <f t="shared" si="8"/>
        <v>562.95196999999996</v>
      </c>
      <c r="G176" s="660" t="s">
        <v>347</v>
      </c>
      <c r="H176" s="664">
        <v>1</v>
      </c>
      <c r="I176" s="661" t="str">
        <f>IF('Plot By Plot SoA'!P201=0,"-",'Plot By Plot SoA'!P201)</f>
        <v>-</v>
      </c>
      <c r="J176" s="660" t="s">
        <v>358</v>
      </c>
      <c r="K176" s="661" t="str">
        <f>IF('Plot By Plot SoA'!J201=0,"-",'Plot By Plot SoA'!J201)</f>
        <v>Community Amenity</v>
      </c>
      <c r="L176" s="665" t="s">
        <v>77</v>
      </c>
    </row>
    <row r="177" spans="1:12" x14ac:dyDescent="0.35">
      <c r="A177" s="1655"/>
      <c r="B177" s="660">
        <v>172</v>
      </c>
      <c r="C177" s="660" t="s">
        <v>17</v>
      </c>
      <c r="D177" s="661" t="s">
        <v>374</v>
      </c>
      <c r="E177" s="662">
        <v>71.7</v>
      </c>
      <c r="F177" s="663">
        <f t="shared" si="8"/>
        <v>771.77162999999996</v>
      </c>
      <c r="G177" s="660" t="s">
        <v>345</v>
      </c>
      <c r="H177" s="664">
        <v>1</v>
      </c>
      <c r="I177" s="661" t="str">
        <f>IF('Plot By Plot SoA'!P202=0,"-",'Plot By Plot SoA'!P202)</f>
        <v>-</v>
      </c>
      <c r="J177" s="660" t="s">
        <v>358</v>
      </c>
      <c r="K177" s="661" t="str">
        <f>IF('Plot By Plot SoA'!J202=0,"-",'Plot By Plot SoA'!J202)</f>
        <v>Balcony</v>
      </c>
      <c r="L177" s="665">
        <v>76</v>
      </c>
    </row>
    <row r="178" spans="1:12" x14ac:dyDescent="0.35">
      <c r="A178" s="1655"/>
      <c r="B178" s="660">
        <v>173</v>
      </c>
      <c r="C178" s="660" t="s">
        <v>17</v>
      </c>
      <c r="D178" s="661" t="s">
        <v>375</v>
      </c>
      <c r="E178" s="662">
        <v>71.7</v>
      </c>
      <c r="F178" s="663">
        <f t="shared" si="8"/>
        <v>771.77162999999996</v>
      </c>
      <c r="G178" s="660" t="s">
        <v>345</v>
      </c>
      <c r="H178" s="664">
        <v>1</v>
      </c>
      <c r="I178" s="661" t="str">
        <f>IF('Plot By Plot SoA'!P203=0,"-",'Plot By Plot SoA'!P203)</f>
        <v>-</v>
      </c>
      <c r="J178" s="660" t="s">
        <v>358</v>
      </c>
      <c r="K178" s="661" t="str">
        <f>IF('Plot By Plot SoA'!J203=0,"-",'Plot By Plot SoA'!J203)</f>
        <v>Balcony</v>
      </c>
      <c r="L178" s="665">
        <v>76</v>
      </c>
    </row>
    <row r="179" spans="1:12" x14ac:dyDescent="0.35">
      <c r="A179" s="1655"/>
      <c r="B179" s="660">
        <v>174</v>
      </c>
      <c r="C179" s="660" t="s">
        <v>342</v>
      </c>
      <c r="D179" s="661" t="s">
        <v>370</v>
      </c>
      <c r="E179" s="662">
        <v>54.3</v>
      </c>
      <c r="F179" s="663">
        <f t="shared" si="8"/>
        <v>584.47976999999992</v>
      </c>
      <c r="G179" s="660" t="s">
        <v>347</v>
      </c>
      <c r="H179" s="664">
        <v>1</v>
      </c>
      <c r="I179" s="661" t="str">
        <f>IF('Plot By Plot SoA'!P204=0,"-",'Plot By Plot SoA'!P204)</f>
        <v>-</v>
      </c>
      <c r="J179" s="660" t="s">
        <v>358</v>
      </c>
      <c r="K179" s="661" t="str">
        <f>IF('Plot By Plot SoA'!J204=0,"-",'Plot By Plot SoA'!J204)</f>
        <v>Frontage Amenity</v>
      </c>
      <c r="L179" s="665">
        <v>83</v>
      </c>
    </row>
    <row r="180" spans="1:12" x14ac:dyDescent="0.35">
      <c r="A180" s="1655"/>
      <c r="B180" s="660">
        <v>175</v>
      </c>
      <c r="C180" s="660" t="s">
        <v>17</v>
      </c>
      <c r="D180" s="661" t="s">
        <v>371</v>
      </c>
      <c r="E180" s="662">
        <v>54.3</v>
      </c>
      <c r="F180" s="663">
        <f t="shared" si="8"/>
        <v>584.47976999999992</v>
      </c>
      <c r="G180" s="660" t="s">
        <v>347</v>
      </c>
      <c r="H180" s="664">
        <v>1</v>
      </c>
      <c r="I180" s="661" t="str">
        <f>IF('Plot By Plot SoA'!P205=0,"-",'Plot By Plot SoA'!P205)</f>
        <v>-</v>
      </c>
      <c r="J180" s="660" t="s">
        <v>358</v>
      </c>
      <c r="K180" s="661" t="str">
        <f>IF('Plot By Plot SoA'!J205=0,"-",'Plot By Plot SoA'!J205)</f>
        <v>Community Amenity</v>
      </c>
      <c r="L180" s="665" t="s">
        <v>77</v>
      </c>
    </row>
    <row r="181" spans="1:12" x14ac:dyDescent="0.35">
      <c r="A181" s="1655"/>
      <c r="B181" s="660">
        <v>176</v>
      </c>
      <c r="C181" s="660" t="s">
        <v>17</v>
      </c>
      <c r="D181" s="661" t="s">
        <v>371</v>
      </c>
      <c r="E181" s="662">
        <v>54.7</v>
      </c>
      <c r="F181" s="663">
        <f t="shared" si="8"/>
        <v>588.78533000000004</v>
      </c>
      <c r="G181" s="660" t="s">
        <v>347</v>
      </c>
      <c r="H181" s="664">
        <v>1</v>
      </c>
      <c r="I181" s="661" t="str">
        <f>IF('Plot By Plot SoA'!P206=0,"-",'Plot By Plot SoA'!P206)</f>
        <v>-</v>
      </c>
      <c r="J181" s="660" t="s">
        <v>358</v>
      </c>
      <c r="K181" s="661" t="str">
        <f>IF('Plot By Plot SoA'!J206=0,"-",'Plot By Plot SoA'!J206)</f>
        <v>Balcony</v>
      </c>
      <c r="L181" s="665">
        <v>107</v>
      </c>
    </row>
    <row r="182" spans="1:12" x14ac:dyDescent="0.35">
      <c r="A182" s="1655"/>
      <c r="B182" s="660">
        <v>177</v>
      </c>
      <c r="C182" s="660" t="s">
        <v>17</v>
      </c>
      <c r="D182" s="661" t="s">
        <v>372</v>
      </c>
      <c r="E182" s="662">
        <v>54.3</v>
      </c>
      <c r="F182" s="663">
        <f t="shared" si="8"/>
        <v>584.47976999999992</v>
      </c>
      <c r="G182" s="660" t="s">
        <v>347</v>
      </c>
      <c r="H182" s="664">
        <v>1</v>
      </c>
      <c r="I182" s="661" t="str">
        <f>IF('Plot By Plot SoA'!P207=0,"-",'Plot By Plot SoA'!P207)</f>
        <v>-</v>
      </c>
      <c r="J182" s="660" t="s">
        <v>358</v>
      </c>
      <c r="K182" s="661" t="str">
        <f>IF('Plot By Plot SoA'!J207=0,"-",'Plot By Plot SoA'!J207)</f>
        <v>Community Amenity</v>
      </c>
      <c r="L182" s="665" t="s">
        <v>77</v>
      </c>
    </row>
    <row r="183" spans="1:12" x14ac:dyDescent="0.35">
      <c r="A183" s="1655"/>
      <c r="B183" s="660">
        <v>178</v>
      </c>
      <c r="C183" s="660" t="s">
        <v>17</v>
      </c>
      <c r="D183" s="661" t="s">
        <v>372</v>
      </c>
      <c r="E183" s="662">
        <v>54.7</v>
      </c>
      <c r="F183" s="663">
        <f t="shared" si="8"/>
        <v>588.78533000000004</v>
      </c>
      <c r="G183" s="660" t="s">
        <v>347</v>
      </c>
      <c r="H183" s="664">
        <v>1</v>
      </c>
      <c r="I183" s="661" t="str">
        <f>IF('Plot By Plot SoA'!P208=0,"-",'Plot By Plot SoA'!P208)</f>
        <v>-</v>
      </c>
      <c r="J183" s="660" t="s">
        <v>358</v>
      </c>
      <c r="K183" s="661" t="str">
        <f>IF('Plot By Plot SoA'!J208=0,"-",'Plot By Plot SoA'!J208)</f>
        <v>Balcony</v>
      </c>
      <c r="L183" s="665">
        <v>107</v>
      </c>
    </row>
    <row r="184" spans="1:12" x14ac:dyDescent="0.35">
      <c r="A184" s="1655"/>
      <c r="B184" s="660">
        <v>179</v>
      </c>
      <c r="C184" s="660" t="s">
        <v>17</v>
      </c>
      <c r="D184" s="661" t="s">
        <v>374</v>
      </c>
      <c r="E184" s="662">
        <v>54.3</v>
      </c>
      <c r="F184" s="663">
        <f t="shared" si="8"/>
        <v>584.47976999999992</v>
      </c>
      <c r="G184" s="660" t="s">
        <v>347</v>
      </c>
      <c r="H184" s="664">
        <v>1</v>
      </c>
      <c r="I184" s="661" t="str">
        <f>IF('Plot By Plot SoA'!P209=0,"-",'Plot By Plot SoA'!P209)</f>
        <v>-</v>
      </c>
      <c r="J184" s="660" t="s">
        <v>358</v>
      </c>
      <c r="K184" s="661" t="str">
        <f>IF('Plot By Plot SoA'!J209=0,"-",'Plot By Plot SoA'!J209)</f>
        <v>Community Amenity</v>
      </c>
      <c r="L184" s="665" t="s">
        <v>77</v>
      </c>
    </row>
    <row r="185" spans="1:12" x14ac:dyDescent="0.35">
      <c r="A185" s="1655"/>
      <c r="B185" s="660">
        <v>180</v>
      </c>
      <c r="C185" s="660" t="s">
        <v>17</v>
      </c>
      <c r="D185" s="661" t="s">
        <v>374</v>
      </c>
      <c r="E185" s="662">
        <v>54.7</v>
      </c>
      <c r="F185" s="663">
        <f t="shared" si="8"/>
        <v>588.78533000000004</v>
      </c>
      <c r="G185" s="660" t="s">
        <v>347</v>
      </c>
      <c r="H185" s="664">
        <v>1</v>
      </c>
      <c r="I185" s="661" t="str">
        <f>IF('Plot By Plot SoA'!P210=0,"-",'Plot By Plot SoA'!P210)</f>
        <v>-</v>
      </c>
      <c r="J185" s="660" t="s">
        <v>358</v>
      </c>
      <c r="K185" s="661" t="str">
        <f>IF('Plot By Plot SoA'!J210=0,"-",'Plot By Plot SoA'!J210)</f>
        <v>Community Amenity</v>
      </c>
      <c r="L185" s="665">
        <v>107</v>
      </c>
    </row>
    <row r="186" spans="1:12" x14ac:dyDescent="0.35">
      <c r="A186" s="1655"/>
      <c r="B186" s="660">
        <v>181</v>
      </c>
      <c r="C186" s="660" t="s">
        <v>17</v>
      </c>
      <c r="D186" s="661" t="s">
        <v>375</v>
      </c>
      <c r="E186" s="662">
        <v>54.7</v>
      </c>
      <c r="F186" s="663">
        <f t="shared" si="8"/>
        <v>588.78533000000004</v>
      </c>
      <c r="G186" s="660" t="s">
        <v>347</v>
      </c>
      <c r="H186" s="664">
        <v>1</v>
      </c>
      <c r="I186" s="661" t="str">
        <f>IF('Plot By Plot SoA'!P211=0,"-",'Plot By Plot SoA'!P211)</f>
        <v>-</v>
      </c>
      <c r="J186" s="660" t="s">
        <v>358</v>
      </c>
      <c r="K186" s="661" t="str">
        <f>IF('Plot By Plot SoA'!J211=0,"-",'Plot By Plot SoA'!J211)</f>
        <v>Balcony</v>
      </c>
      <c r="L186" s="665">
        <v>107</v>
      </c>
    </row>
    <row r="187" spans="1:12" x14ac:dyDescent="0.35">
      <c r="A187" s="1655"/>
      <c r="B187" s="660">
        <v>182</v>
      </c>
      <c r="C187" s="660" t="s">
        <v>342</v>
      </c>
      <c r="D187" s="661" t="s">
        <v>370</v>
      </c>
      <c r="E187" s="662">
        <v>54.7</v>
      </c>
      <c r="F187" s="663">
        <f t="shared" si="8"/>
        <v>588.78533000000004</v>
      </c>
      <c r="G187" s="660" t="s">
        <v>347</v>
      </c>
      <c r="H187" s="664">
        <v>1</v>
      </c>
      <c r="I187" s="661" t="str">
        <f>IF('Plot By Plot SoA'!P212=0,"-",'Plot By Plot SoA'!P212)</f>
        <v>-</v>
      </c>
      <c r="J187" s="660" t="s">
        <v>358</v>
      </c>
      <c r="K187" s="661" t="str">
        <f>IF('Plot By Plot SoA'!J212=0,"-",'Plot By Plot SoA'!J212)</f>
        <v>Private Front Garden</v>
      </c>
      <c r="L187" s="665">
        <v>172</v>
      </c>
    </row>
    <row r="188" spans="1:12" x14ac:dyDescent="0.35">
      <c r="A188" s="1655"/>
      <c r="B188" s="660">
        <v>183</v>
      </c>
      <c r="C188" s="660" t="s">
        <v>51</v>
      </c>
      <c r="D188" s="661" t="s">
        <v>368</v>
      </c>
      <c r="E188" s="662">
        <v>93.1</v>
      </c>
      <c r="F188" s="663">
        <f t="shared" si="8"/>
        <v>1002.1190899999999</v>
      </c>
      <c r="G188" s="660" t="s">
        <v>344</v>
      </c>
      <c r="H188" s="668">
        <v>2</v>
      </c>
      <c r="I188" s="661" t="str">
        <f>IF('Plot By Plot SoA'!P213=0,"-",'Plot By Plot SoA'!P213)</f>
        <v>-</v>
      </c>
      <c r="J188" s="660" t="s">
        <v>357</v>
      </c>
      <c r="K188" s="661" t="str">
        <f>IF('Plot By Plot SoA'!J213=0,"-",'Plot By Plot SoA'!J213)</f>
        <v>Community Amenity</v>
      </c>
      <c r="L188" s="665" t="s">
        <v>77</v>
      </c>
    </row>
    <row r="189" spans="1:12" x14ac:dyDescent="0.35">
      <c r="A189" s="1655"/>
      <c r="B189" s="660">
        <v>184</v>
      </c>
      <c r="C189" s="660" t="s">
        <v>17</v>
      </c>
      <c r="D189" s="661" t="s">
        <v>371</v>
      </c>
      <c r="E189" s="662">
        <v>49.9</v>
      </c>
      <c r="F189" s="663">
        <f t="shared" si="8"/>
        <v>537.11860999999999</v>
      </c>
      <c r="G189" s="660" t="s">
        <v>347</v>
      </c>
      <c r="H189" s="664">
        <v>1</v>
      </c>
      <c r="I189" s="661" t="str">
        <f>IF('Plot By Plot SoA'!P214=0,"-",'Plot By Plot SoA'!P214)</f>
        <v>-</v>
      </c>
      <c r="J189" s="660" t="s">
        <v>358</v>
      </c>
      <c r="K189" s="661" t="str">
        <f>IF('Plot By Plot SoA'!J214=0,"-",'Plot By Plot SoA'!J214)</f>
        <v>Community Amenity</v>
      </c>
      <c r="L189" s="665" t="s">
        <v>77</v>
      </c>
    </row>
    <row r="190" spans="1:12" x14ac:dyDescent="0.35">
      <c r="A190" s="1655"/>
      <c r="B190" s="660">
        <v>185</v>
      </c>
      <c r="C190" s="660" t="s">
        <v>17</v>
      </c>
      <c r="D190" s="661" t="s">
        <v>371</v>
      </c>
      <c r="E190" s="662">
        <v>51.7</v>
      </c>
      <c r="F190" s="663">
        <f t="shared" si="8"/>
        <v>556.49363000000005</v>
      </c>
      <c r="G190" s="660" t="s">
        <v>347</v>
      </c>
      <c r="H190" s="664">
        <v>1</v>
      </c>
      <c r="I190" s="661" t="str">
        <f>IF('Plot By Plot SoA'!P215=0,"-",'Plot By Plot SoA'!P215)</f>
        <v>-</v>
      </c>
      <c r="J190" s="660" t="s">
        <v>358</v>
      </c>
      <c r="K190" s="661" t="str">
        <f>IF('Plot By Plot SoA'!J215=0,"-",'Plot By Plot SoA'!J215)</f>
        <v>Community Amenity</v>
      </c>
      <c r="L190" s="665" t="s">
        <v>77</v>
      </c>
    </row>
    <row r="191" spans="1:12" x14ac:dyDescent="0.35">
      <c r="A191" s="1655"/>
      <c r="B191" s="660">
        <v>186</v>
      </c>
      <c r="C191" s="660" t="s">
        <v>17</v>
      </c>
      <c r="D191" s="661" t="s">
        <v>371</v>
      </c>
      <c r="E191" s="662">
        <v>50.2</v>
      </c>
      <c r="F191" s="663">
        <f t="shared" si="8"/>
        <v>540.34778000000006</v>
      </c>
      <c r="G191" s="660" t="s">
        <v>347</v>
      </c>
      <c r="H191" s="664">
        <v>1</v>
      </c>
      <c r="I191" s="661" t="str">
        <f>IF('Plot By Plot SoA'!P216=0,"-",'Plot By Plot SoA'!P216)</f>
        <v>-</v>
      </c>
      <c r="J191" s="660" t="s">
        <v>358</v>
      </c>
      <c r="K191" s="661" t="str">
        <f>IF('Plot By Plot SoA'!J216=0,"-",'Plot By Plot SoA'!J216)</f>
        <v>Community Amenity</v>
      </c>
      <c r="L191" s="665" t="s">
        <v>77</v>
      </c>
    </row>
    <row r="192" spans="1:12" x14ac:dyDescent="0.35">
      <c r="A192" s="1655"/>
      <c r="B192" s="660">
        <v>187</v>
      </c>
      <c r="C192" s="660" t="s">
        <v>17</v>
      </c>
      <c r="D192" s="661" t="s">
        <v>371</v>
      </c>
      <c r="E192" s="662">
        <v>53.6</v>
      </c>
      <c r="F192" s="663">
        <f t="shared" si="8"/>
        <v>576.94503999999995</v>
      </c>
      <c r="G192" s="660" t="s">
        <v>347</v>
      </c>
      <c r="H192" s="664">
        <v>1</v>
      </c>
      <c r="I192" s="661" t="str">
        <f>IF('Plot By Plot SoA'!P217=0,"-",'Plot By Plot SoA'!P217)</f>
        <v>-</v>
      </c>
      <c r="J192" s="660" t="s">
        <v>358</v>
      </c>
      <c r="K192" s="661" t="str">
        <f>IF('Plot By Plot SoA'!J217=0,"-",'Plot By Plot SoA'!J217)</f>
        <v>Balcony</v>
      </c>
      <c r="L192" s="665">
        <v>121</v>
      </c>
    </row>
    <row r="193" spans="1:12" x14ac:dyDescent="0.35">
      <c r="A193" s="1655"/>
      <c r="B193" s="660">
        <v>188</v>
      </c>
      <c r="C193" s="660" t="s">
        <v>17</v>
      </c>
      <c r="D193" s="661" t="s">
        <v>371</v>
      </c>
      <c r="E193" s="662">
        <v>50.1</v>
      </c>
      <c r="F193" s="663">
        <f t="shared" si="8"/>
        <v>539.27139</v>
      </c>
      <c r="G193" s="660" t="s">
        <v>347</v>
      </c>
      <c r="H193" s="664">
        <v>1</v>
      </c>
      <c r="I193" s="661" t="str">
        <f>IF('Plot By Plot SoA'!P218=0,"-",'Plot By Plot SoA'!P218)</f>
        <v>-</v>
      </c>
      <c r="J193" s="660" t="s">
        <v>358</v>
      </c>
      <c r="K193" s="661" t="str">
        <f>IF('Plot By Plot SoA'!J218=0,"-",'Plot By Plot SoA'!J218)</f>
        <v>Community Amenity</v>
      </c>
      <c r="L193" s="665" t="s">
        <v>77</v>
      </c>
    </row>
    <row r="194" spans="1:12" x14ac:dyDescent="0.35">
      <c r="A194" s="1655"/>
      <c r="B194" s="660">
        <v>189</v>
      </c>
      <c r="C194" s="660" t="s">
        <v>17</v>
      </c>
      <c r="D194" s="661" t="s">
        <v>371</v>
      </c>
      <c r="E194" s="662">
        <v>40.5</v>
      </c>
      <c r="F194" s="663">
        <f t="shared" si="8"/>
        <v>435.93795</v>
      </c>
      <c r="G194" s="660" t="s">
        <v>347</v>
      </c>
      <c r="H194" s="664">
        <v>1</v>
      </c>
      <c r="I194" s="661" t="str">
        <f>IF('Plot By Plot SoA'!P219=0,"-",'Plot By Plot SoA'!P219)</f>
        <v>-</v>
      </c>
      <c r="J194" s="660" t="s">
        <v>358</v>
      </c>
      <c r="K194" s="661" t="str">
        <f>IF('Plot By Plot SoA'!J219=0,"-",'Plot By Plot SoA'!J219)</f>
        <v>Community Amenity</v>
      </c>
      <c r="L194" s="665" t="s">
        <v>77</v>
      </c>
    </row>
    <row r="195" spans="1:12" x14ac:dyDescent="0.35">
      <c r="A195" s="1655"/>
      <c r="B195" s="660">
        <v>190</v>
      </c>
      <c r="C195" s="660" t="s">
        <v>17</v>
      </c>
      <c r="D195" s="661" t="s">
        <v>371</v>
      </c>
      <c r="E195" s="662">
        <v>40.5</v>
      </c>
      <c r="F195" s="663">
        <f t="shared" si="8"/>
        <v>435.93795</v>
      </c>
      <c r="G195" s="660" t="s">
        <v>347</v>
      </c>
      <c r="H195" s="664">
        <v>1</v>
      </c>
      <c r="I195" s="661" t="str">
        <f>IF('Plot By Plot SoA'!P220=0,"-",'Plot By Plot SoA'!P220)</f>
        <v>-</v>
      </c>
      <c r="J195" s="660" t="s">
        <v>358</v>
      </c>
      <c r="K195" s="661" t="str">
        <f>IF('Plot By Plot SoA'!J220=0,"-",'Plot By Plot SoA'!J220)</f>
        <v>Community Amenity</v>
      </c>
      <c r="L195" s="665" t="s">
        <v>77</v>
      </c>
    </row>
    <row r="196" spans="1:12" x14ac:dyDescent="0.35">
      <c r="A196" s="1655"/>
      <c r="B196" s="660">
        <v>191</v>
      </c>
      <c r="C196" s="660" t="s">
        <v>17</v>
      </c>
      <c r="D196" s="661" t="s">
        <v>371</v>
      </c>
      <c r="E196" s="662">
        <v>40.5</v>
      </c>
      <c r="F196" s="663">
        <f t="shared" si="8"/>
        <v>435.93795</v>
      </c>
      <c r="G196" s="660" t="s">
        <v>347</v>
      </c>
      <c r="H196" s="664">
        <v>1</v>
      </c>
      <c r="I196" s="661" t="str">
        <f>IF('Plot By Plot SoA'!P221=0,"-",'Plot By Plot SoA'!P221)</f>
        <v>-</v>
      </c>
      <c r="J196" s="660" t="s">
        <v>358</v>
      </c>
      <c r="K196" s="661" t="str">
        <f>IF('Plot By Plot SoA'!J221=0,"-",'Plot By Plot SoA'!J221)</f>
        <v>Community Amenity</v>
      </c>
      <c r="L196" s="665" t="s">
        <v>77</v>
      </c>
    </row>
    <row r="197" spans="1:12" x14ac:dyDescent="0.35">
      <c r="A197" s="1655"/>
      <c r="B197" s="660">
        <v>192</v>
      </c>
      <c r="C197" s="660" t="s">
        <v>17</v>
      </c>
      <c r="D197" s="661" t="s">
        <v>371</v>
      </c>
      <c r="E197" s="662">
        <v>40.5</v>
      </c>
      <c r="F197" s="663">
        <f t="shared" si="8"/>
        <v>435.93795</v>
      </c>
      <c r="G197" s="660" t="s">
        <v>347</v>
      </c>
      <c r="H197" s="664">
        <v>1</v>
      </c>
      <c r="I197" s="661" t="str">
        <f>IF('Plot By Plot SoA'!P222=0,"-",'Plot By Plot SoA'!P222)</f>
        <v>-</v>
      </c>
      <c r="J197" s="660" t="s">
        <v>358</v>
      </c>
      <c r="K197" s="661" t="str">
        <f>IF('Plot By Plot SoA'!J222=0,"-",'Plot By Plot SoA'!J222)</f>
        <v>Community Amenity</v>
      </c>
      <c r="L197" s="665" t="s">
        <v>77</v>
      </c>
    </row>
    <row r="198" spans="1:12" x14ac:dyDescent="0.35">
      <c r="A198" s="1655"/>
      <c r="B198" s="660">
        <v>193</v>
      </c>
      <c r="C198" s="660" t="s">
        <v>17</v>
      </c>
      <c r="D198" s="661" t="s">
        <v>371</v>
      </c>
      <c r="E198" s="662">
        <v>40.5</v>
      </c>
      <c r="F198" s="663">
        <f t="shared" si="8"/>
        <v>435.93795</v>
      </c>
      <c r="G198" s="660" t="s">
        <v>347</v>
      </c>
      <c r="H198" s="664">
        <v>1</v>
      </c>
      <c r="I198" s="661" t="str">
        <f>IF('Plot By Plot SoA'!P223=0,"-",'Plot By Plot SoA'!P223)</f>
        <v>-</v>
      </c>
      <c r="J198" s="660" t="s">
        <v>358</v>
      </c>
      <c r="K198" s="661" t="str">
        <f>IF('Plot By Plot SoA'!J223=0,"-",'Plot By Plot SoA'!J223)</f>
        <v>Community Amenity</v>
      </c>
      <c r="L198" s="665" t="s">
        <v>77</v>
      </c>
    </row>
    <row r="199" spans="1:12" x14ac:dyDescent="0.35">
      <c r="A199" s="1655"/>
      <c r="B199" s="660">
        <v>194</v>
      </c>
      <c r="C199" s="660" t="s">
        <v>17</v>
      </c>
      <c r="D199" s="661" t="s">
        <v>372</v>
      </c>
      <c r="E199" s="662">
        <v>73.5</v>
      </c>
      <c r="F199" s="663">
        <f>SUM(E199*10.7639)</f>
        <v>791.14665000000002</v>
      </c>
      <c r="G199" s="660" t="s">
        <v>347</v>
      </c>
      <c r="H199" s="664">
        <v>1</v>
      </c>
      <c r="I199" s="661" t="str">
        <f>IF('Plot By Plot SoA'!P224=0,"-",'Plot By Plot SoA'!P224)</f>
        <v>-</v>
      </c>
      <c r="J199" s="660" t="s">
        <v>358</v>
      </c>
      <c r="K199" s="661" t="str">
        <f>IF('Plot By Plot SoA'!J224=0,"-",'Plot By Plot SoA'!J224)</f>
        <v>Community Amenity</v>
      </c>
      <c r="L199" s="665" t="s">
        <v>77</v>
      </c>
    </row>
    <row r="200" spans="1:12" x14ac:dyDescent="0.35">
      <c r="A200" s="1655"/>
      <c r="B200" s="660">
        <v>195</v>
      </c>
      <c r="C200" s="660" t="s">
        <v>17</v>
      </c>
      <c r="D200" s="661" t="s">
        <v>372</v>
      </c>
      <c r="E200" s="662">
        <v>49.9</v>
      </c>
      <c r="F200" s="663">
        <f t="shared" ref="F200:F263" si="9">SUM(E200*10.7639)</f>
        <v>537.11860999999999</v>
      </c>
      <c r="G200" s="660" t="s">
        <v>347</v>
      </c>
      <c r="H200" s="664">
        <v>1</v>
      </c>
      <c r="I200" s="661" t="str">
        <f>IF('Plot By Plot SoA'!P225=0,"-",'Plot By Plot SoA'!P225)</f>
        <v>-</v>
      </c>
      <c r="J200" s="660" t="s">
        <v>358</v>
      </c>
      <c r="K200" s="661" t="str">
        <f>IF('Plot By Plot SoA'!J225=0,"-",'Plot By Plot SoA'!J225)</f>
        <v>Community Amenity</v>
      </c>
      <c r="L200" s="665" t="s">
        <v>77</v>
      </c>
    </row>
    <row r="201" spans="1:12" x14ac:dyDescent="0.35">
      <c r="A201" s="1655"/>
      <c r="B201" s="660">
        <v>196</v>
      </c>
      <c r="C201" s="660" t="s">
        <v>17</v>
      </c>
      <c r="D201" s="661" t="s">
        <v>372</v>
      </c>
      <c r="E201" s="662">
        <v>51.7</v>
      </c>
      <c r="F201" s="663">
        <f t="shared" si="9"/>
        <v>556.49363000000005</v>
      </c>
      <c r="G201" s="660" t="s">
        <v>347</v>
      </c>
      <c r="H201" s="664">
        <v>1</v>
      </c>
      <c r="I201" s="661" t="str">
        <f>IF('Plot By Plot SoA'!P226=0,"-",'Plot By Plot SoA'!P226)</f>
        <v>-</v>
      </c>
      <c r="J201" s="660" t="s">
        <v>358</v>
      </c>
      <c r="K201" s="661" t="str">
        <f>IF('Plot By Plot SoA'!J226=0,"-",'Plot By Plot SoA'!J226)</f>
        <v>Community Amenity</v>
      </c>
      <c r="L201" s="665" t="s">
        <v>77</v>
      </c>
    </row>
    <row r="202" spans="1:12" x14ac:dyDescent="0.35">
      <c r="A202" s="1655"/>
      <c r="B202" s="660">
        <v>197</v>
      </c>
      <c r="C202" s="660" t="s">
        <v>17</v>
      </c>
      <c r="D202" s="661" t="s">
        <v>372</v>
      </c>
      <c r="E202" s="662">
        <v>50.2</v>
      </c>
      <c r="F202" s="663">
        <f t="shared" si="9"/>
        <v>540.34778000000006</v>
      </c>
      <c r="G202" s="660" t="s">
        <v>347</v>
      </c>
      <c r="H202" s="664">
        <v>1</v>
      </c>
      <c r="I202" s="661" t="str">
        <f>IF('Plot By Plot SoA'!P227=0,"-",'Plot By Plot SoA'!P227)</f>
        <v>-</v>
      </c>
      <c r="J202" s="660" t="s">
        <v>358</v>
      </c>
      <c r="K202" s="661" t="str">
        <f>IF('Plot By Plot SoA'!J227=0,"-",'Plot By Plot SoA'!J227)</f>
        <v>Community Amenity</v>
      </c>
      <c r="L202" s="665" t="s">
        <v>77</v>
      </c>
    </row>
    <row r="203" spans="1:12" x14ac:dyDescent="0.35">
      <c r="A203" s="1655"/>
      <c r="B203" s="660">
        <v>198</v>
      </c>
      <c r="C203" s="660" t="s">
        <v>17</v>
      </c>
      <c r="D203" s="661" t="s">
        <v>372</v>
      </c>
      <c r="E203" s="662">
        <v>53.6</v>
      </c>
      <c r="F203" s="663">
        <f t="shared" si="9"/>
        <v>576.94503999999995</v>
      </c>
      <c r="G203" s="660" t="s">
        <v>347</v>
      </c>
      <c r="H203" s="664">
        <v>1</v>
      </c>
      <c r="I203" s="661" t="str">
        <f>IF('Plot By Plot SoA'!P228=0,"-",'Plot By Plot SoA'!P228)</f>
        <v>-</v>
      </c>
      <c r="J203" s="660" t="s">
        <v>358</v>
      </c>
      <c r="K203" s="661" t="str">
        <f>IF('Plot By Plot SoA'!J228=0,"-",'Plot By Plot SoA'!J228)</f>
        <v>Balcony</v>
      </c>
      <c r="L203" s="665">
        <v>84</v>
      </c>
    </row>
    <row r="204" spans="1:12" x14ac:dyDescent="0.35">
      <c r="A204" s="1655"/>
      <c r="B204" s="660">
        <v>199</v>
      </c>
      <c r="C204" s="660" t="s">
        <v>17</v>
      </c>
      <c r="D204" s="661" t="s">
        <v>372</v>
      </c>
      <c r="E204" s="662">
        <v>50.1</v>
      </c>
      <c r="F204" s="663">
        <f t="shared" si="9"/>
        <v>539.27139</v>
      </c>
      <c r="G204" s="660" t="s">
        <v>347</v>
      </c>
      <c r="H204" s="664">
        <v>1</v>
      </c>
      <c r="I204" s="661" t="str">
        <f>IF('Plot By Plot SoA'!P229=0,"-",'Plot By Plot SoA'!P229)</f>
        <v>-</v>
      </c>
      <c r="J204" s="660" t="s">
        <v>358</v>
      </c>
      <c r="K204" s="661" t="str">
        <f>IF('Plot By Plot SoA'!J229=0,"-",'Plot By Plot SoA'!J229)</f>
        <v>Community Amenity</v>
      </c>
      <c r="L204" s="665" t="s">
        <v>77</v>
      </c>
    </row>
    <row r="205" spans="1:12" x14ac:dyDescent="0.35">
      <c r="A205" s="1655"/>
      <c r="B205" s="660">
        <v>200</v>
      </c>
      <c r="C205" s="660" t="s">
        <v>16</v>
      </c>
      <c r="D205" s="661" t="s">
        <v>373</v>
      </c>
      <c r="E205" s="662">
        <v>81</v>
      </c>
      <c r="F205" s="663">
        <f t="shared" si="9"/>
        <v>871.8759</v>
      </c>
      <c r="G205" s="660" t="s">
        <v>343</v>
      </c>
      <c r="H205" s="668">
        <v>2</v>
      </c>
      <c r="I205" s="661" t="str">
        <f>IF('Plot By Plot SoA'!P230=0,"-",'Plot By Plot SoA'!P230)</f>
        <v>-</v>
      </c>
      <c r="J205" s="660" t="s">
        <v>358</v>
      </c>
      <c r="K205" s="661" t="str">
        <f>IF('Plot By Plot SoA'!J230=0,"-",'Plot By Plot SoA'!J230)</f>
        <v>Community Amenity</v>
      </c>
      <c r="L205" s="665" t="s">
        <v>77</v>
      </c>
    </row>
    <row r="206" spans="1:12" x14ac:dyDescent="0.35">
      <c r="A206" s="1655"/>
      <c r="B206" s="660">
        <v>201</v>
      </c>
      <c r="C206" s="660" t="s">
        <v>16</v>
      </c>
      <c r="D206" s="661" t="s">
        <v>373</v>
      </c>
      <c r="E206" s="662">
        <v>87.2</v>
      </c>
      <c r="F206" s="663">
        <f t="shared" si="9"/>
        <v>938.61207999999999</v>
      </c>
      <c r="G206" s="660" t="s">
        <v>345</v>
      </c>
      <c r="H206" s="664">
        <v>2</v>
      </c>
      <c r="I206" s="661" t="str">
        <f>IF('Plot By Plot SoA'!P231=0,"-",'Plot By Plot SoA'!P231)</f>
        <v>-</v>
      </c>
      <c r="J206" s="660" t="s">
        <v>358</v>
      </c>
      <c r="K206" s="661" t="str">
        <f>IF('Plot By Plot SoA'!J231=0,"-",'Plot By Plot SoA'!J231)</f>
        <v>Community Amenity</v>
      </c>
      <c r="L206" s="665" t="s">
        <v>77</v>
      </c>
    </row>
    <row r="207" spans="1:12" x14ac:dyDescent="0.35">
      <c r="A207" s="1655"/>
      <c r="B207" s="660">
        <v>202</v>
      </c>
      <c r="C207" s="660" t="s">
        <v>16</v>
      </c>
      <c r="D207" s="661" t="s">
        <v>373</v>
      </c>
      <c r="E207" s="662">
        <v>81</v>
      </c>
      <c r="F207" s="663">
        <f t="shared" si="9"/>
        <v>871.8759</v>
      </c>
      <c r="G207" s="660" t="s">
        <v>343</v>
      </c>
      <c r="H207" s="669">
        <v>2</v>
      </c>
      <c r="I207" s="661" t="str">
        <f>IF('Plot By Plot SoA'!P232=0,"-",'Plot By Plot SoA'!P232)</f>
        <v>-</v>
      </c>
      <c r="J207" s="660" t="s">
        <v>358</v>
      </c>
      <c r="K207" s="661" t="str">
        <f>IF('Plot By Plot SoA'!J232=0,"-",'Plot By Plot SoA'!J232)</f>
        <v>Community Amenity</v>
      </c>
      <c r="L207" s="665" t="s">
        <v>77</v>
      </c>
    </row>
    <row r="208" spans="1:12" x14ac:dyDescent="0.35">
      <c r="A208" s="1655"/>
      <c r="B208" s="660">
        <v>203</v>
      </c>
      <c r="C208" s="660" t="s">
        <v>16</v>
      </c>
      <c r="D208" s="661" t="s">
        <v>373</v>
      </c>
      <c r="E208" s="662">
        <v>81</v>
      </c>
      <c r="F208" s="663">
        <f t="shared" si="9"/>
        <v>871.8759</v>
      </c>
      <c r="G208" s="660" t="s">
        <v>343</v>
      </c>
      <c r="H208" s="669">
        <v>2</v>
      </c>
      <c r="I208" s="661" t="str">
        <f>IF('Plot By Plot SoA'!P233=0,"-",'Plot By Plot SoA'!P233)</f>
        <v>-</v>
      </c>
      <c r="J208" s="660" t="s">
        <v>358</v>
      </c>
      <c r="K208" s="661" t="str">
        <f>IF('Plot By Plot SoA'!J233=0,"-",'Plot By Plot SoA'!J233)</f>
        <v>Community Amenity</v>
      </c>
      <c r="L208" s="665" t="s">
        <v>77</v>
      </c>
    </row>
    <row r="209" spans="1:12" x14ac:dyDescent="0.35">
      <c r="A209" s="1655"/>
      <c r="B209" s="660">
        <v>204</v>
      </c>
      <c r="C209" s="660" t="s">
        <v>16</v>
      </c>
      <c r="D209" s="661" t="s">
        <v>373</v>
      </c>
      <c r="E209" s="662">
        <v>81</v>
      </c>
      <c r="F209" s="663">
        <f t="shared" si="9"/>
        <v>871.8759</v>
      </c>
      <c r="G209" s="660" t="s">
        <v>343</v>
      </c>
      <c r="H209" s="664">
        <v>2</v>
      </c>
      <c r="I209" s="661" t="str">
        <f>IF('Plot By Plot SoA'!P234=0,"-",'Plot By Plot SoA'!P234)</f>
        <v>-</v>
      </c>
      <c r="J209" s="660" t="s">
        <v>358</v>
      </c>
      <c r="K209" s="661" t="str">
        <f>IF('Plot By Plot SoA'!J234=0,"-",'Plot By Plot SoA'!J234)</f>
        <v>Community Amenity</v>
      </c>
      <c r="L209" s="665" t="s">
        <v>77</v>
      </c>
    </row>
    <row r="210" spans="1:12" x14ac:dyDescent="0.35">
      <c r="A210" s="1655"/>
      <c r="B210" s="660">
        <v>205</v>
      </c>
      <c r="C210" s="660" t="s">
        <v>17</v>
      </c>
      <c r="D210" s="661" t="s">
        <v>374</v>
      </c>
      <c r="E210" s="662">
        <v>49.9</v>
      </c>
      <c r="F210" s="663">
        <f t="shared" si="9"/>
        <v>537.11860999999999</v>
      </c>
      <c r="G210" s="660" t="s">
        <v>347</v>
      </c>
      <c r="H210" s="664">
        <v>1</v>
      </c>
      <c r="I210" s="661" t="str">
        <f>IF('Plot By Plot SoA'!P235=0,"-",'Plot By Plot SoA'!P235)</f>
        <v>-</v>
      </c>
      <c r="J210" s="660" t="s">
        <v>358</v>
      </c>
      <c r="K210" s="661" t="str">
        <f>IF('Plot By Plot SoA'!J235=0,"-",'Plot By Plot SoA'!J235)</f>
        <v>Community Amenity</v>
      </c>
      <c r="L210" s="665" t="s">
        <v>77</v>
      </c>
    </row>
    <row r="211" spans="1:12" x14ac:dyDescent="0.35">
      <c r="A211" s="1655"/>
      <c r="B211" s="660">
        <v>206</v>
      </c>
      <c r="C211" s="660" t="s">
        <v>17</v>
      </c>
      <c r="D211" s="661" t="s">
        <v>374</v>
      </c>
      <c r="E211" s="662">
        <v>51.7</v>
      </c>
      <c r="F211" s="663">
        <f t="shared" si="9"/>
        <v>556.49363000000005</v>
      </c>
      <c r="G211" s="660" t="s">
        <v>347</v>
      </c>
      <c r="H211" s="664">
        <v>1</v>
      </c>
      <c r="I211" s="661" t="str">
        <f>IF('Plot By Plot SoA'!P236=0,"-",'Plot By Plot SoA'!P236)</f>
        <v>-</v>
      </c>
      <c r="J211" s="660" t="s">
        <v>358</v>
      </c>
      <c r="K211" s="661" t="str">
        <f>IF('Plot By Plot SoA'!J236=0,"-",'Plot By Plot SoA'!J236)</f>
        <v>Community Amenity</v>
      </c>
      <c r="L211" s="665" t="s">
        <v>77</v>
      </c>
    </row>
    <row r="212" spans="1:12" x14ac:dyDescent="0.35">
      <c r="A212" s="1655"/>
      <c r="B212" s="660">
        <v>207</v>
      </c>
      <c r="C212" s="660" t="s">
        <v>17</v>
      </c>
      <c r="D212" s="661" t="s">
        <v>374</v>
      </c>
      <c r="E212" s="662">
        <v>50.2</v>
      </c>
      <c r="F212" s="663">
        <f t="shared" si="9"/>
        <v>540.34778000000006</v>
      </c>
      <c r="G212" s="660" t="s">
        <v>347</v>
      </c>
      <c r="H212" s="664">
        <v>1</v>
      </c>
      <c r="I212" s="661" t="str">
        <f>IF('Plot By Plot SoA'!P237=0,"-",'Plot By Plot SoA'!P237)</f>
        <v>-</v>
      </c>
      <c r="J212" s="660" t="s">
        <v>358</v>
      </c>
      <c r="K212" s="661" t="str">
        <f>IF('Plot By Plot SoA'!J237=0,"-",'Plot By Plot SoA'!J237)</f>
        <v>Community Amenity</v>
      </c>
      <c r="L212" s="665" t="s">
        <v>77</v>
      </c>
    </row>
    <row r="213" spans="1:12" x14ac:dyDescent="0.35">
      <c r="A213" s="1655"/>
      <c r="B213" s="660">
        <v>208</v>
      </c>
      <c r="C213" s="660" t="s">
        <v>17</v>
      </c>
      <c r="D213" s="661" t="s">
        <v>374</v>
      </c>
      <c r="E213" s="662">
        <v>53.6</v>
      </c>
      <c r="F213" s="663">
        <f t="shared" si="9"/>
        <v>576.94503999999995</v>
      </c>
      <c r="G213" s="660" t="s">
        <v>347</v>
      </c>
      <c r="H213" s="664">
        <v>1</v>
      </c>
      <c r="I213" s="661" t="str">
        <f>IF('Plot By Plot SoA'!P238=0,"-",'Plot By Plot SoA'!P238)</f>
        <v>-</v>
      </c>
      <c r="J213" s="660" t="s">
        <v>358</v>
      </c>
      <c r="K213" s="661" t="str">
        <f>IF('Plot By Plot SoA'!J238=0,"-",'Plot By Plot SoA'!J238)</f>
        <v>Community Amenity</v>
      </c>
      <c r="L213" s="665" t="s">
        <v>77</v>
      </c>
    </row>
    <row r="214" spans="1:12" x14ac:dyDescent="0.35">
      <c r="A214" s="1655"/>
      <c r="B214" s="660">
        <v>209</v>
      </c>
      <c r="C214" s="660" t="s">
        <v>17</v>
      </c>
      <c r="D214" s="661" t="s">
        <v>374</v>
      </c>
      <c r="E214" s="662">
        <v>50.1</v>
      </c>
      <c r="F214" s="663">
        <f t="shared" si="9"/>
        <v>539.27139</v>
      </c>
      <c r="G214" s="660" t="s">
        <v>347</v>
      </c>
      <c r="H214" s="664">
        <v>1</v>
      </c>
      <c r="I214" s="661" t="str">
        <f>IF('Plot By Plot SoA'!P239=0,"-",'Plot By Plot SoA'!P239)</f>
        <v>-</v>
      </c>
      <c r="J214" s="660" t="s">
        <v>358</v>
      </c>
      <c r="K214" s="661" t="str">
        <f>IF('Plot By Plot SoA'!J239=0,"-",'Plot By Plot SoA'!J239)</f>
        <v>Community Amenity</v>
      </c>
      <c r="L214" s="670" t="s">
        <v>77</v>
      </c>
    </row>
    <row r="215" spans="1:12" x14ac:dyDescent="0.35">
      <c r="A215" s="1655"/>
      <c r="B215" s="660">
        <v>210</v>
      </c>
      <c r="C215" s="660" t="s">
        <v>17</v>
      </c>
      <c r="D215" s="661" t="s">
        <v>375</v>
      </c>
      <c r="E215" s="662">
        <v>49.9</v>
      </c>
      <c r="F215" s="663">
        <f t="shared" si="9"/>
        <v>537.11860999999999</v>
      </c>
      <c r="G215" s="660" t="s">
        <v>347</v>
      </c>
      <c r="H215" s="664">
        <v>1</v>
      </c>
      <c r="I215" s="661" t="str">
        <f>IF('Plot By Plot SoA'!P240=0,"-",'Plot By Plot SoA'!P240)</f>
        <v>-</v>
      </c>
      <c r="J215" s="660" t="s">
        <v>358</v>
      </c>
      <c r="K215" s="661" t="str">
        <f>IF('Plot By Plot SoA'!J240=0,"-",'Plot By Plot SoA'!J240)</f>
        <v>Community Amenity</v>
      </c>
      <c r="L215" s="665" t="s">
        <v>77</v>
      </c>
    </row>
    <row r="216" spans="1:12" x14ac:dyDescent="0.35">
      <c r="A216" s="1655"/>
      <c r="B216" s="660">
        <v>211</v>
      </c>
      <c r="C216" s="660" t="s">
        <v>17</v>
      </c>
      <c r="D216" s="661" t="s">
        <v>375</v>
      </c>
      <c r="E216" s="662">
        <v>51.7</v>
      </c>
      <c r="F216" s="663">
        <f t="shared" si="9"/>
        <v>556.49363000000005</v>
      </c>
      <c r="G216" s="660" t="s">
        <v>347</v>
      </c>
      <c r="H216" s="664">
        <v>1</v>
      </c>
      <c r="I216" s="661" t="str">
        <f>IF('Plot By Plot SoA'!P241=0,"-",'Plot By Plot SoA'!P241)</f>
        <v>-</v>
      </c>
      <c r="J216" s="660" t="s">
        <v>358</v>
      </c>
      <c r="K216" s="661" t="str">
        <f>IF('Plot By Plot SoA'!J241=0,"-",'Plot By Plot SoA'!J241)</f>
        <v>Community Amenity</v>
      </c>
      <c r="L216" s="665" t="s">
        <v>77</v>
      </c>
    </row>
    <row r="217" spans="1:12" x14ac:dyDescent="0.35">
      <c r="A217" s="1655"/>
      <c r="B217" s="660">
        <v>212</v>
      </c>
      <c r="C217" s="660" t="s">
        <v>17</v>
      </c>
      <c r="D217" s="661" t="s">
        <v>375</v>
      </c>
      <c r="E217" s="662">
        <v>50.2</v>
      </c>
      <c r="F217" s="663">
        <f t="shared" si="9"/>
        <v>540.34778000000006</v>
      </c>
      <c r="G217" s="660" t="s">
        <v>347</v>
      </c>
      <c r="H217" s="664">
        <v>1</v>
      </c>
      <c r="I217" s="661" t="str">
        <f>IF('Plot By Plot SoA'!P242=0,"-",'Plot By Plot SoA'!P242)</f>
        <v>-</v>
      </c>
      <c r="J217" s="660" t="s">
        <v>358</v>
      </c>
      <c r="K217" s="661" t="str">
        <f>IF('Plot By Plot SoA'!J242=0,"-",'Plot By Plot SoA'!J242)</f>
        <v>Community Amenity</v>
      </c>
      <c r="L217" s="665" t="s">
        <v>77</v>
      </c>
    </row>
    <row r="218" spans="1:12" x14ac:dyDescent="0.35">
      <c r="A218" s="1655"/>
      <c r="B218" s="660" t="s">
        <v>113</v>
      </c>
      <c r="C218" s="660" t="s">
        <v>17</v>
      </c>
      <c r="D218" s="661" t="s">
        <v>375</v>
      </c>
      <c r="E218" s="662">
        <v>53.6</v>
      </c>
      <c r="F218" s="663">
        <f t="shared" si="9"/>
        <v>576.94503999999995</v>
      </c>
      <c r="G218" s="660" t="s">
        <v>347</v>
      </c>
      <c r="H218" s="664">
        <v>1</v>
      </c>
      <c r="I218" s="661" t="str">
        <f>IF('Plot By Plot SoA'!P243=0,"-",'Plot By Plot SoA'!P243)</f>
        <v>-</v>
      </c>
      <c r="J218" s="660" t="s">
        <v>358</v>
      </c>
      <c r="K218" s="661" t="str">
        <f>IF('Plot By Plot SoA'!J243=0,"-",'Plot By Plot SoA'!J243)</f>
        <v>Community Amenity</v>
      </c>
      <c r="L218" s="665" t="s">
        <v>77</v>
      </c>
    </row>
    <row r="219" spans="1:12" x14ac:dyDescent="0.35">
      <c r="A219" s="1655"/>
      <c r="B219" s="660">
        <v>213</v>
      </c>
      <c r="C219" s="660" t="s">
        <v>17</v>
      </c>
      <c r="D219" s="661" t="s">
        <v>376</v>
      </c>
      <c r="E219" s="662">
        <v>49.9</v>
      </c>
      <c r="F219" s="663">
        <f t="shared" si="9"/>
        <v>537.11860999999999</v>
      </c>
      <c r="G219" s="660" t="s">
        <v>347</v>
      </c>
      <c r="H219" s="664">
        <v>1</v>
      </c>
      <c r="I219" s="661" t="str">
        <f>IF('Plot By Plot SoA'!P244=0,"-",'Plot By Plot SoA'!P244)</f>
        <v>-</v>
      </c>
      <c r="J219" s="660" t="s">
        <v>358</v>
      </c>
      <c r="K219" s="661" t="str">
        <f>IF('Plot By Plot SoA'!J244=0,"-",'Plot By Plot SoA'!J244)</f>
        <v>Community Amenity</v>
      </c>
      <c r="L219" s="665" t="s">
        <v>77</v>
      </c>
    </row>
    <row r="220" spans="1:12" x14ac:dyDescent="0.35">
      <c r="A220" s="1655"/>
      <c r="B220" s="660">
        <v>214</v>
      </c>
      <c r="C220" s="660" t="s">
        <v>17</v>
      </c>
      <c r="D220" s="661" t="s">
        <v>376</v>
      </c>
      <c r="E220" s="662">
        <v>51.7</v>
      </c>
      <c r="F220" s="663">
        <f t="shared" si="9"/>
        <v>556.49363000000005</v>
      </c>
      <c r="G220" s="660" t="s">
        <v>347</v>
      </c>
      <c r="H220" s="664">
        <v>1</v>
      </c>
      <c r="I220" s="661" t="str">
        <f>IF('Plot By Plot SoA'!P245=0,"-",'Plot By Plot SoA'!P245)</f>
        <v>-</v>
      </c>
      <c r="J220" s="660" t="s">
        <v>358</v>
      </c>
      <c r="K220" s="661" t="str">
        <f>IF('Plot By Plot SoA'!J245=0,"-",'Plot By Plot SoA'!J245)</f>
        <v>Community Amenity</v>
      </c>
      <c r="L220" s="665" t="s">
        <v>77</v>
      </c>
    </row>
    <row r="221" spans="1:12" x14ac:dyDescent="0.35">
      <c r="A221" s="1656"/>
      <c r="B221" s="660">
        <v>215</v>
      </c>
      <c r="C221" s="660" t="s">
        <v>17</v>
      </c>
      <c r="D221" s="661" t="s">
        <v>376</v>
      </c>
      <c r="E221" s="662">
        <v>50.2</v>
      </c>
      <c r="F221" s="663">
        <f t="shared" si="9"/>
        <v>540.34778000000006</v>
      </c>
      <c r="G221" s="660" t="s">
        <v>347</v>
      </c>
      <c r="H221" s="664">
        <v>1</v>
      </c>
      <c r="I221" s="661" t="str">
        <f>IF('Plot By Plot SoA'!P246=0,"-",'Plot By Plot SoA'!P246)</f>
        <v>-</v>
      </c>
      <c r="J221" s="660" t="s">
        <v>358</v>
      </c>
      <c r="K221" s="661" t="str">
        <f>IF('Plot By Plot SoA'!J246=0,"-",'Plot By Plot SoA'!J246)</f>
        <v>Community Amenity</v>
      </c>
      <c r="L221" s="665" t="s">
        <v>77</v>
      </c>
    </row>
    <row r="222" spans="1:12" x14ac:dyDescent="0.35">
      <c r="A222" s="1657" t="s">
        <v>122</v>
      </c>
      <c r="B222" s="671">
        <v>216</v>
      </c>
      <c r="C222" s="671" t="s">
        <v>17</v>
      </c>
      <c r="D222" s="672" t="s">
        <v>387</v>
      </c>
      <c r="E222" s="671">
        <v>48.3</v>
      </c>
      <c r="F222" s="673">
        <f t="shared" si="9"/>
        <v>519.89636999999993</v>
      </c>
      <c r="G222" s="671" t="s">
        <v>347</v>
      </c>
      <c r="H222" s="674">
        <v>1</v>
      </c>
      <c r="I222" s="672" t="str">
        <f>IF('Plot By Plot SoA'!P247=0,"-",'Plot By Plot SoA'!P247)</f>
        <v>-</v>
      </c>
      <c r="J222" s="671" t="s">
        <v>358</v>
      </c>
      <c r="K222" s="672" t="str">
        <f>IF('Plot By Plot SoA'!J247=0,"-",'Plot By Plot SoA'!J247)</f>
        <v>Community Amenity</v>
      </c>
      <c r="L222" s="675" t="s">
        <v>77</v>
      </c>
    </row>
    <row r="223" spans="1:12" x14ac:dyDescent="0.35">
      <c r="A223" s="1658"/>
      <c r="B223" s="671">
        <v>217</v>
      </c>
      <c r="C223" s="671" t="s">
        <v>17</v>
      </c>
      <c r="D223" s="672" t="s">
        <v>371</v>
      </c>
      <c r="E223" s="671">
        <v>56.2</v>
      </c>
      <c r="F223" s="673">
        <f t="shared" si="9"/>
        <v>604.93118000000004</v>
      </c>
      <c r="G223" s="671" t="s">
        <v>347</v>
      </c>
      <c r="H223" s="676">
        <v>1</v>
      </c>
      <c r="I223" s="672" t="str">
        <f>IF('Plot By Plot SoA'!P248=0,"-",'Plot By Plot SoA'!P248)</f>
        <v>-</v>
      </c>
      <c r="J223" s="671" t="s">
        <v>358</v>
      </c>
      <c r="K223" s="672" t="str">
        <f>IF('Plot By Plot SoA'!J248=0,"-",'Plot By Plot SoA'!J248)</f>
        <v>Balcony</v>
      </c>
      <c r="L223" s="675">
        <v>86</v>
      </c>
    </row>
    <row r="224" spans="1:12" x14ac:dyDescent="0.35">
      <c r="A224" s="1658"/>
      <c r="B224" s="671">
        <v>218</v>
      </c>
      <c r="C224" s="671" t="s">
        <v>17</v>
      </c>
      <c r="D224" s="672" t="s">
        <v>371</v>
      </c>
      <c r="E224" s="671">
        <v>43.4</v>
      </c>
      <c r="F224" s="673">
        <f t="shared" si="9"/>
        <v>467.15325999999999</v>
      </c>
      <c r="G224" s="671" t="s">
        <v>347</v>
      </c>
      <c r="H224" s="676">
        <v>1</v>
      </c>
      <c r="I224" s="672" t="str">
        <f>IF('Plot By Plot SoA'!P249=0,"-",'Plot By Plot SoA'!P249)</f>
        <v>-</v>
      </c>
      <c r="J224" s="671" t="s">
        <v>358</v>
      </c>
      <c r="K224" s="672" t="str">
        <f>IF('Plot By Plot SoA'!J249=0,"-",'Plot By Plot SoA'!J249)</f>
        <v>Community Amenity</v>
      </c>
      <c r="L224" s="675" t="s">
        <v>77</v>
      </c>
    </row>
    <row r="225" spans="1:12" x14ac:dyDescent="0.35">
      <c r="A225" s="1658"/>
      <c r="B225" s="671">
        <v>219</v>
      </c>
      <c r="C225" s="671" t="s">
        <v>17</v>
      </c>
      <c r="D225" s="672" t="s">
        <v>371</v>
      </c>
      <c r="E225" s="671">
        <v>43.4</v>
      </c>
      <c r="F225" s="673">
        <f t="shared" si="9"/>
        <v>467.15325999999999</v>
      </c>
      <c r="G225" s="671" t="s">
        <v>347</v>
      </c>
      <c r="H225" s="677">
        <v>1</v>
      </c>
      <c r="I225" s="672" t="str">
        <f>IF('Plot By Plot SoA'!P250=0,"-",'Plot By Plot SoA'!P250)</f>
        <v>-</v>
      </c>
      <c r="J225" s="671" t="s">
        <v>358</v>
      </c>
      <c r="K225" s="672" t="str">
        <f>IF('Plot By Plot SoA'!J250=0,"-",'Plot By Plot SoA'!J250)</f>
        <v>Balcony</v>
      </c>
      <c r="L225" s="675">
        <v>89</v>
      </c>
    </row>
    <row r="226" spans="1:12" x14ac:dyDescent="0.35">
      <c r="A226" s="1658"/>
      <c r="B226" s="671">
        <v>220</v>
      </c>
      <c r="C226" s="671" t="s">
        <v>17</v>
      </c>
      <c r="D226" s="672" t="s">
        <v>371</v>
      </c>
      <c r="E226" s="671">
        <v>43.4</v>
      </c>
      <c r="F226" s="673">
        <f t="shared" si="9"/>
        <v>467.15325999999999</v>
      </c>
      <c r="G226" s="671" t="s">
        <v>347</v>
      </c>
      <c r="H226" s="674">
        <v>1</v>
      </c>
      <c r="I226" s="672" t="str">
        <f>IF('Plot By Plot SoA'!P251=0,"-",'Plot By Plot SoA'!P251)</f>
        <v>-</v>
      </c>
      <c r="J226" s="671" t="s">
        <v>358</v>
      </c>
      <c r="K226" s="672" t="str">
        <f>IF('Plot By Plot SoA'!J251=0,"-",'Plot By Plot SoA'!J251)</f>
        <v>Community Amenity</v>
      </c>
      <c r="L226" s="675" t="s">
        <v>77</v>
      </c>
    </row>
    <row r="227" spans="1:12" x14ac:dyDescent="0.35">
      <c r="A227" s="1658"/>
      <c r="B227" s="671">
        <v>221</v>
      </c>
      <c r="C227" s="671" t="s">
        <v>17</v>
      </c>
      <c r="D227" s="672" t="s">
        <v>371</v>
      </c>
      <c r="E227" s="671">
        <v>43.4</v>
      </c>
      <c r="F227" s="673">
        <f t="shared" si="9"/>
        <v>467.15325999999999</v>
      </c>
      <c r="G227" s="671" t="s">
        <v>347</v>
      </c>
      <c r="H227" s="676">
        <v>1</v>
      </c>
      <c r="I227" s="672" t="str">
        <f>IF('Plot By Plot SoA'!P252=0,"-",'Plot By Plot SoA'!P252)</f>
        <v>-</v>
      </c>
      <c r="J227" s="671" t="s">
        <v>358</v>
      </c>
      <c r="K227" s="672" t="str">
        <f>IF('Plot By Plot SoA'!J252=0,"-",'Plot By Plot SoA'!J252)</f>
        <v>Balcony</v>
      </c>
      <c r="L227" s="675">
        <v>89</v>
      </c>
    </row>
    <row r="228" spans="1:12" x14ac:dyDescent="0.35">
      <c r="A228" s="1658"/>
      <c r="B228" s="671">
        <v>222</v>
      </c>
      <c r="C228" s="671" t="s">
        <v>17</v>
      </c>
      <c r="D228" s="672" t="s">
        <v>371</v>
      </c>
      <c r="E228" s="671">
        <v>43.4</v>
      </c>
      <c r="F228" s="673">
        <f t="shared" si="9"/>
        <v>467.15325999999999</v>
      </c>
      <c r="G228" s="671" t="s">
        <v>347</v>
      </c>
      <c r="H228" s="676">
        <v>1</v>
      </c>
      <c r="I228" s="672" t="str">
        <f>IF('Plot By Plot SoA'!P253=0,"-",'Plot By Plot SoA'!P253)</f>
        <v>-</v>
      </c>
      <c r="J228" s="671" t="s">
        <v>358</v>
      </c>
      <c r="K228" s="672" t="str">
        <f>IF('Plot By Plot SoA'!J253=0,"-",'Plot By Plot SoA'!J253)</f>
        <v>Community Amenity</v>
      </c>
      <c r="L228" s="675" t="s">
        <v>77</v>
      </c>
    </row>
    <row r="229" spans="1:12" x14ac:dyDescent="0.35">
      <c r="A229" s="1658"/>
      <c r="B229" s="671">
        <v>223</v>
      </c>
      <c r="C229" s="671" t="s">
        <v>17</v>
      </c>
      <c r="D229" s="672" t="s">
        <v>371</v>
      </c>
      <c r="E229" s="671">
        <v>43.4</v>
      </c>
      <c r="F229" s="673">
        <f t="shared" si="9"/>
        <v>467.15325999999999</v>
      </c>
      <c r="G229" s="671" t="s">
        <v>347</v>
      </c>
      <c r="H229" s="676">
        <v>1</v>
      </c>
      <c r="I229" s="672" t="str">
        <f>IF('Plot By Plot SoA'!P254=0,"-",'Plot By Plot SoA'!P254)</f>
        <v>-</v>
      </c>
      <c r="J229" s="671" t="s">
        <v>358</v>
      </c>
      <c r="K229" s="672" t="str">
        <f>IF('Plot By Plot SoA'!J254=0,"-",'Plot By Plot SoA'!J254)</f>
        <v>Balcony</v>
      </c>
      <c r="L229" s="675">
        <v>89</v>
      </c>
    </row>
    <row r="230" spans="1:12" x14ac:dyDescent="0.35">
      <c r="A230" s="1658"/>
      <c r="B230" s="671">
        <v>224</v>
      </c>
      <c r="C230" s="671" t="s">
        <v>17</v>
      </c>
      <c r="D230" s="672" t="s">
        <v>371</v>
      </c>
      <c r="E230" s="671">
        <v>43.4</v>
      </c>
      <c r="F230" s="673">
        <f t="shared" si="9"/>
        <v>467.15325999999999</v>
      </c>
      <c r="G230" s="671" t="s">
        <v>347</v>
      </c>
      <c r="H230" s="677">
        <v>1</v>
      </c>
      <c r="I230" s="672" t="str">
        <f>IF('Plot By Plot SoA'!P255=0,"-",'Plot By Plot SoA'!P255)</f>
        <v>-</v>
      </c>
      <c r="J230" s="671" t="s">
        <v>358</v>
      </c>
      <c r="K230" s="672" t="str">
        <f>IF('Plot By Plot SoA'!J255=0,"-",'Plot By Plot SoA'!J255)</f>
        <v>Community Amenity</v>
      </c>
      <c r="L230" s="675" t="s">
        <v>77</v>
      </c>
    </row>
    <row r="231" spans="1:12" x14ac:dyDescent="0.35">
      <c r="A231" s="1658"/>
      <c r="B231" s="671">
        <v>225</v>
      </c>
      <c r="C231" s="671" t="s">
        <v>17</v>
      </c>
      <c r="D231" s="672" t="s">
        <v>371</v>
      </c>
      <c r="E231" s="671">
        <v>51.2</v>
      </c>
      <c r="F231" s="673">
        <f t="shared" si="9"/>
        <v>551.11167999999998</v>
      </c>
      <c r="G231" s="671" t="s">
        <v>347</v>
      </c>
      <c r="H231" s="677">
        <v>1</v>
      </c>
      <c r="I231" s="672" t="str">
        <f>IF('Plot By Plot SoA'!P256=0,"-",'Plot By Plot SoA'!P256)</f>
        <v>-</v>
      </c>
      <c r="J231" s="671" t="s">
        <v>358</v>
      </c>
      <c r="K231" s="672" t="str">
        <f>IF('Plot By Plot SoA'!J256=0,"-",'Plot By Plot SoA'!J256)</f>
        <v>Balcony</v>
      </c>
      <c r="L231" s="675">
        <v>89</v>
      </c>
    </row>
    <row r="232" spans="1:12" x14ac:dyDescent="0.35">
      <c r="A232" s="1658"/>
      <c r="B232" s="671">
        <v>226</v>
      </c>
      <c r="C232" s="671" t="s">
        <v>17</v>
      </c>
      <c r="D232" s="672" t="s">
        <v>371</v>
      </c>
      <c r="E232" s="671">
        <v>43.4</v>
      </c>
      <c r="F232" s="673">
        <f t="shared" si="9"/>
        <v>467.15325999999999</v>
      </c>
      <c r="G232" s="671" t="s">
        <v>347</v>
      </c>
      <c r="H232" s="677">
        <v>1</v>
      </c>
      <c r="I232" s="672" t="str">
        <f>IF('Plot By Plot SoA'!P257=0,"-",'Plot By Plot SoA'!P257)</f>
        <v>-</v>
      </c>
      <c r="J232" s="671" t="s">
        <v>358</v>
      </c>
      <c r="K232" s="672" t="str">
        <f>IF('Plot By Plot SoA'!J257=0,"-",'Plot By Plot SoA'!J257)</f>
        <v>Community Amenity</v>
      </c>
      <c r="L232" s="675" t="s">
        <v>77</v>
      </c>
    </row>
    <row r="233" spans="1:12" x14ac:dyDescent="0.35">
      <c r="A233" s="1658"/>
      <c r="B233" s="671">
        <v>227</v>
      </c>
      <c r="C233" s="671" t="s">
        <v>17</v>
      </c>
      <c r="D233" s="672" t="s">
        <v>371</v>
      </c>
      <c r="E233" s="671">
        <v>43.4</v>
      </c>
      <c r="F233" s="673">
        <f t="shared" si="9"/>
        <v>467.15325999999999</v>
      </c>
      <c r="G233" s="671" t="s">
        <v>347</v>
      </c>
      <c r="H233" s="676">
        <v>1</v>
      </c>
      <c r="I233" s="672" t="str">
        <f>IF('Plot By Plot SoA'!P258=0,"-",'Plot By Plot SoA'!P258)</f>
        <v>-</v>
      </c>
      <c r="J233" s="671" t="s">
        <v>358</v>
      </c>
      <c r="K233" s="672" t="str">
        <f>IF('Plot By Plot SoA'!J258=0,"-",'Plot By Plot SoA'!J258)</f>
        <v>Community Amenity</v>
      </c>
      <c r="L233" s="675" t="s">
        <v>77</v>
      </c>
    </row>
    <row r="234" spans="1:12" x14ac:dyDescent="0.35">
      <c r="A234" s="1658"/>
      <c r="B234" s="671">
        <v>228</v>
      </c>
      <c r="C234" s="671" t="s">
        <v>17</v>
      </c>
      <c r="D234" s="672" t="s">
        <v>371</v>
      </c>
      <c r="E234" s="671">
        <v>57.8</v>
      </c>
      <c r="F234" s="673">
        <f t="shared" si="9"/>
        <v>622.15341999999998</v>
      </c>
      <c r="G234" s="671" t="s">
        <v>347</v>
      </c>
      <c r="H234" s="676">
        <v>1</v>
      </c>
      <c r="I234" s="672" t="str">
        <f>IF('Plot By Plot SoA'!P259=0,"-",'Plot By Plot SoA'!P259)</f>
        <v>-</v>
      </c>
      <c r="J234" s="671" t="s">
        <v>358</v>
      </c>
      <c r="K234" s="672" t="str">
        <f>IF('Plot By Plot SoA'!J259=0,"-",'Plot By Plot SoA'!J259)</f>
        <v>Balcony</v>
      </c>
      <c r="L234" s="675">
        <v>74</v>
      </c>
    </row>
    <row r="235" spans="1:12" x14ac:dyDescent="0.35">
      <c r="A235" s="1658"/>
      <c r="B235" s="671">
        <v>229</v>
      </c>
      <c r="C235" s="671" t="s">
        <v>17</v>
      </c>
      <c r="D235" s="672" t="s">
        <v>372</v>
      </c>
      <c r="E235" s="671">
        <v>56.2</v>
      </c>
      <c r="F235" s="673">
        <f t="shared" si="9"/>
        <v>604.93118000000004</v>
      </c>
      <c r="G235" s="671" t="s">
        <v>347</v>
      </c>
      <c r="H235" s="676">
        <v>1</v>
      </c>
      <c r="I235" s="672" t="str">
        <f>IF('Plot By Plot SoA'!P260=0,"-",'Plot By Plot SoA'!P260)</f>
        <v>-</v>
      </c>
      <c r="J235" s="671" t="s">
        <v>358</v>
      </c>
      <c r="K235" s="672" t="str">
        <f>IF('Plot By Plot SoA'!J260=0,"-",'Plot By Plot SoA'!J260)</f>
        <v>Community Amenity</v>
      </c>
      <c r="L235" s="675" t="s">
        <v>77</v>
      </c>
    </row>
    <row r="236" spans="1:12" x14ac:dyDescent="0.35">
      <c r="A236" s="1658"/>
      <c r="B236" s="671">
        <v>230</v>
      </c>
      <c r="C236" s="671" t="s">
        <v>17</v>
      </c>
      <c r="D236" s="672" t="s">
        <v>372</v>
      </c>
      <c r="E236" s="671">
        <v>43.4</v>
      </c>
      <c r="F236" s="673">
        <f t="shared" si="9"/>
        <v>467.15325999999999</v>
      </c>
      <c r="G236" s="671" t="s">
        <v>347</v>
      </c>
      <c r="H236" s="676">
        <v>1</v>
      </c>
      <c r="I236" s="672" t="str">
        <f>IF('Plot By Plot SoA'!P261=0,"-",'Plot By Plot SoA'!P261)</f>
        <v>-</v>
      </c>
      <c r="J236" s="671" t="s">
        <v>358</v>
      </c>
      <c r="K236" s="672" t="str">
        <f>IF('Plot By Plot SoA'!J261=0,"-",'Plot By Plot SoA'!J261)</f>
        <v>Community Amenity</v>
      </c>
      <c r="L236" s="675" t="s">
        <v>77</v>
      </c>
    </row>
    <row r="237" spans="1:12" x14ac:dyDescent="0.35">
      <c r="A237" s="1658"/>
      <c r="B237" s="671">
        <v>231</v>
      </c>
      <c r="C237" s="671" t="s">
        <v>17</v>
      </c>
      <c r="D237" s="672" t="s">
        <v>372</v>
      </c>
      <c r="E237" s="671">
        <v>43.4</v>
      </c>
      <c r="F237" s="673">
        <f t="shared" si="9"/>
        <v>467.15325999999999</v>
      </c>
      <c r="G237" s="671" t="s">
        <v>347</v>
      </c>
      <c r="H237" s="676">
        <v>1</v>
      </c>
      <c r="I237" s="672" t="str">
        <f>IF('Plot By Plot SoA'!P262=0,"-",'Plot By Plot SoA'!P262)</f>
        <v>-</v>
      </c>
      <c r="J237" s="671" t="s">
        <v>358</v>
      </c>
      <c r="K237" s="672" t="str">
        <f>IF('Plot By Plot SoA'!J262=0,"-",'Plot By Plot SoA'!J262)</f>
        <v>Balcony</v>
      </c>
      <c r="L237" s="675">
        <v>89</v>
      </c>
    </row>
    <row r="238" spans="1:12" x14ac:dyDescent="0.35">
      <c r="A238" s="1658"/>
      <c r="B238" s="671">
        <v>232</v>
      </c>
      <c r="C238" s="671" t="s">
        <v>17</v>
      </c>
      <c r="D238" s="672" t="s">
        <v>372</v>
      </c>
      <c r="E238" s="671">
        <v>43.4</v>
      </c>
      <c r="F238" s="673">
        <f t="shared" si="9"/>
        <v>467.15325999999999</v>
      </c>
      <c r="G238" s="671" t="s">
        <v>347</v>
      </c>
      <c r="H238" s="677">
        <v>1</v>
      </c>
      <c r="I238" s="672" t="str">
        <f>IF('Plot By Plot SoA'!P263=0,"-",'Plot By Plot SoA'!P263)</f>
        <v>-</v>
      </c>
      <c r="J238" s="671" t="s">
        <v>358</v>
      </c>
      <c r="K238" s="672" t="str">
        <f>IF('Plot By Plot SoA'!J263=0,"-",'Plot By Plot SoA'!J263)</f>
        <v>Community Amenity</v>
      </c>
      <c r="L238" s="675" t="s">
        <v>77</v>
      </c>
    </row>
    <row r="239" spans="1:12" x14ac:dyDescent="0.35">
      <c r="A239" s="1658"/>
      <c r="B239" s="671">
        <v>233</v>
      </c>
      <c r="C239" s="671" t="s">
        <v>17</v>
      </c>
      <c r="D239" s="672" t="s">
        <v>372</v>
      </c>
      <c r="E239" s="671">
        <v>43.4</v>
      </c>
      <c r="F239" s="673">
        <f t="shared" si="9"/>
        <v>467.15325999999999</v>
      </c>
      <c r="G239" s="671" t="s">
        <v>347</v>
      </c>
      <c r="H239" s="677">
        <v>1</v>
      </c>
      <c r="I239" s="672" t="str">
        <f>IF('Plot By Plot SoA'!P264=0,"-",'Plot By Plot SoA'!P264)</f>
        <v>-</v>
      </c>
      <c r="J239" s="671" t="s">
        <v>358</v>
      </c>
      <c r="K239" s="672" t="str">
        <f>IF('Plot By Plot SoA'!J264=0,"-",'Plot By Plot SoA'!J264)</f>
        <v>Balcony</v>
      </c>
      <c r="L239" s="675">
        <v>89</v>
      </c>
    </row>
    <row r="240" spans="1:12" x14ac:dyDescent="0.35">
      <c r="A240" s="1658"/>
      <c r="B240" s="671">
        <v>234</v>
      </c>
      <c r="C240" s="671" t="s">
        <v>17</v>
      </c>
      <c r="D240" s="672" t="s">
        <v>372</v>
      </c>
      <c r="E240" s="671">
        <v>43.4</v>
      </c>
      <c r="F240" s="673">
        <f t="shared" si="9"/>
        <v>467.15325999999999</v>
      </c>
      <c r="G240" s="671" t="s">
        <v>347</v>
      </c>
      <c r="H240" s="677">
        <v>1</v>
      </c>
      <c r="I240" s="672" t="str">
        <f>IF('Plot By Plot SoA'!P265=0,"-",'Plot By Plot SoA'!P265)</f>
        <v>-</v>
      </c>
      <c r="J240" s="671" t="s">
        <v>358</v>
      </c>
      <c r="K240" s="672" t="str">
        <f>IF('Plot By Plot SoA'!J265=0,"-",'Plot By Plot SoA'!J265)</f>
        <v>Community Amenity</v>
      </c>
      <c r="L240" s="675" t="s">
        <v>77</v>
      </c>
    </row>
    <row r="241" spans="1:12" x14ac:dyDescent="0.35">
      <c r="A241" s="1658"/>
      <c r="B241" s="671">
        <v>235</v>
      </c>
      <c r="C241" s="671" t="s">
        <v>17</v>
      </c>
      <c r="D241" s="672" t="s">
        <v>372</v>
      </c>
      <c r="E241" s="671">
        <v>43.4</v>
      </c>
      <c r="F241" s="673">
        <f t="shared" si="9"/>
        <v>467.15325999999999</v>
      </c>
      <c r="G241" s="671" t="s">
        <v>347</v>
      </c>
      <c r="H241" s="677">
        <v>1</v>
      </c>
      <c r="I241" s="672" t="str">
        <f>IF('Plot By Plot SoA'!P266=0,"-",'Plot By Plot SoA'!P266)</f>
        <v>-</v>
      </c>
      <c r="J241" s="671" t="s">
        <v>358</v>
      </c>
      <c r="K241" s="672" t="str">
        <f>IF('Plot By Plot SoA'!J266=0,"-",'Plot By Plot SoA'!J266)</f>
        <v>Balcony</v>
      </c>
      <c r="L241" s="675">
        <v>89</v>
      </c>
    </row>
    <row r="242" spans="1:12" x14ac:dyDescent="0.35">
      <c r="A242" s="1658"/>
      <c r="B242" s="671">
        <v>236</v>
      </c>
      <c r="C242" s="671" t="s">
        <v>17</v>
      </c>
      <c r="D242" s="672" t="s">
        <v>372</v>
      </c>
      <c r="E242" s="671">
        <v>43.4</v>
      </c>
      <c r="F242" s="673">
        <f t="shared" si="9"/>
        <v>467.15325999999999</v>
      </c>
      <c r="G242" s="671" t="s">
        <v>347</v>
      </c>
      <c r="H242" s="677">
        <v>1</v>
      </c>
      <c r="I242" s="672" t="str">
        <f>IF('Plot By Plot SoA'!P267=0,"-",'Plot By Plot SoA'!P267)</f>
        <v>-</v>
      </c>
      <c r="J242" s="671" t="s">
        <v>358</v>
      </c>
      <c r="K242" s="672" t="str">
        <f>IF('Plot By Plot SoA'!J267=0,"-",'Plot By Plot SoA'!J267)</f>
        <v>Community Amenity</v>
      </c>
      <c r="L242" s="675" t="s">
        <v>77</v>
      </c>
    </row>
    <row r="243" spans="1:12" x14ac:dyDescent="0.35">
      <c r="A243" s="1658"/>
      <c r="B243" s="671">
        <v>237</v>
      </c>
      <c r="C243" s="671" t="s">
        <v>17</v>
      </c>
      <c r="D243" s="672" t="s">
        <v>372</v>
      </c>
      <c r="E243" s="671">
        <v>51.2</v>
      </c>
      <c r="F243" s="673">
        <f t="shared" si="9"/>
        <v>551.11167999999998</v>
      </c>
      <c r="G243" s="671" t="s">
        <v>347</v>
      </c>
      <c r="H243" s="677">
        <v>1</v>
      </c>
      <c r="I243" s="672" t="str">
        <f>IF('Plot By Plot SoA'!P268=0,"-",'Plot By Plot SoA'!P268)</f>
        <v>-</v>
      </c>
      <c r="J243" s="671" t="s">
        <v>358</v>
      </c>
      <c r="K243" s="672" t="str">
        <f>IF('Plot By Plot SoA'!J268=0,"-",'Plot By Plot SoA'!J268)</f>
        <v>Balcony</v>
      </c>
      <c r="L243" s="675">
        <v>89</v>
      </c>
    </row>
    <row r="244" spans="1:12" x14ac:dyDescent="0.35">
      <c r="A244" s="1658"/>
      <c r="B244" s="671">
        <v>238</v>
      </c>
      <c r="C244" s="671" t="s">
        <v>17</v>
      </c>
      <c r="D244" s="672" t="s">
        <v>372</v>
      </c>
      <c r="E244" s="671">
        <v>43.4</v>
      </c>
      <c r="F244" s="673">
        <f t="shared" si="9"/>
        <v>467.15325999999999</v>
      </c>
      <c r="G244" s="671" t="s">
        <v>347</v>
      </c>
      <c r="H244" s="677">
        <v>1</v>
      </c>
      <c r="I244" s="672" t="str">
        <f>IF('Plot By Plot SoA'!P269=0,"-",'Plot By Plot SoA'!P269)</f>
        <v>-</v>
      </c>
      <c r="J244" s="671" t="s">
        <v>358</v>
      </c>
      <c r="K244" s="672" t="str">
        <f>IF('Plot By Plot SoA'!J269=0,"-",'Plot By Plot SoA'!J269)</f>
        <v>Community Amenity</v>
      </c>
      <c r="L244" s="675" t="s">
        <v>77</v>
      </c>
    </row>
    <row r="245" spans="1:12" x14ac:dyDescent="0.35">
      <c r="A245" s="1658"/>
      <c r="B245" s="671">
        <v>239</v>
      </c>
      <c r="C245" s="671" t="s">
        <v>17</v>
      </c>
      <c r="D245" s="672" t="s">
        <v>372</v>
      </c>
      <c r="E245" s="671">
        <v>43.4</v>
      </c>
      <c r="F245" s="673">
        <f t="shared" si="9"/>
        <v>467.15325999999999</v>
      </c>
      <c r="G245" s="671" t="s">
        <v>347</v>
      </c>
      <c r="H245" s="677">
        <v>1</v>
      </c>
      <c r="I245" s="672" t="str">
        <f>IF('Plot By Plot SoA'!P270=0,"-",'Plot By Plot SoA'!P270)</f>
        <v>-</v>
      </c>
      <c r="J245" s="671" t="s">
        <v>358</v>
      </c>
      <c r="K245" s="672" t="str">
        <f>IF('Plot By Plot SoA'!J270=0,"-",'Plot By Plot SoA'!J270)</f>
        <v>Community Amenity</v>
      </c>
      <c r="L245" s="675" t="s">
        <v>77</v>
      </c>
    </row>
    <row r="246" spans="1:12" x14ac:dyDescent="0.35">
      <c r="A246" s="1658"/>
      <c r="B246" s="671">
        <v>240</v>
      </c>
      <c r="C246" s="671" t="s">
        <v>17</v>
      </c>
      <c r="D246" s="672" t="s">
        <v>372</v>
      </c>
      <c r="E246" s="671">
        <v>57.8</v>
      </c>
      <c r="F246" s="673">
        <f t="shared" si="9"/>
        <v>622.15341999999998</v>
      </c>
      <c r="G246" s="671" t="s">
        <v>347</v>
      </c>
      <c r="H246" s="677">
        <v>1</v>
      </c>
      <c r="I246" s="672" t="str">
        <f>IF('Plot By Plot SoA'!P271=0,"-",'Plot By Plot SoA'!P271)</f>
        <v>-</v>
      </c>
      <c r="J246" s="671" t="s">
        <v>358</v>
      </c>
      <c r="K246" s="672" t="str">
        <f>IF('Plot By Plot SoA'!J271=0,"-",'Plot By Plot SoA'!J271)</f>
        <v>Balcony</v>
      </c>
      <c r="L246" s="675">
        <v>74</v>
      </c>
    </row>
    <row r="247" spans="1:12" x14ac:dyDescent="0.35">
      <c r="A247" s="1658"/>
      <c r="B247" s="671">
        <v>241</v>
      </c>
      <c r="C247" s="671" t="s">
        <v>17</v>
      </c>
      <c r="D247" s="672" t="s">
        <v>374</v>
      </c>
      <c r="E247" s="671">
        <v>53.3</v>
      </c>
      <c r="F247" s="673">
        <f t="shared" si="9"/>
        <v>573.71587</v>
      </c>
      <c r="G247" s="671" t="s">
        <v>347</v>
      </c>
      <c r="H247" s="677">
        <v>1</v>
      </c>
      <c r="I247" s="672" t="str">
        <f>IF('Plot By Plot SoA'!P272=0,"-",'Plot By Plot SoA'!P272)</f>
        <v>-</v>
      </c>
      <c r="J247" s="671" t="s">
        <v>358</v>
      </c>
      <c r="K247" s="672" t="str">
        <f>IF('Plot By Plot SoA'!J272=0,"-",'Plot By Plot SoA'!J272)</f>
        <v>Community Amenity</v>
      </c>
      <c r="L247" s="675" t="s">
        <v>77</v>
      </c>
    </row>
    <row r="248" spans="1:12" x14ac:dyDescent="0.35">
      <c r="A248" s="1658"/>
      <c r="B248" s="671">
        <v>242</v>
      </c>
      <c r="C248" s="671" t="s">
        <v>17</v>
      </c>
      <c r="D248" s="672" t="s">
        <v>374</v>
      </c>
      <c r="E248" s="671">
        <v>43.4</v>
      </c>
      <c r="F248" s="673">
        <f t="shared" si="9"/>
        <v>467.15325999999999</v>
      </c>
      <c r="G248" s="671" t="s">
        <v>347</v>
      </c>
      <c r="H248" s="677">
        <v>1</v>
      </c>
      <c r="I248" s="672" t="str">
        <f>IF('Plot By Plot SoA'!P273=0,"-",'Plot By Plot SoA'!P273)</f>
        <v>-</v>
      </c>
      <c r="J248" s="671" t="s">
        <v>358</v>
      </c>
      <c r="K248" s="672" t="str">
        <f>IF('Plot By Plot SoA'!J273=0,"-",'Plot By Plot SoA'!J273)</f>
        <v>Community Amenity</v>
      </c>
      <c r="L248" s="675" t="s">
        <v>77</v>
      </c>
    </row>
    <row r="249" spans="1:12" x14ac:dyDescent="0.35">
      <c r="A249" s="1658"/>
      <c r="B249" s="671">
        <v>243</v>
      </c>
      <c r="C249" s="671" t="s">
        <v>17</v>
      </c>
      <c r="D249" s="672" t="s">
        <v>374</v>
      </c>
      <c r="E249" s="671">
        <v>43.4</v>
      </c>
      <c r="F249" s="673">
        <f t="shared" si="9"/>
        <v>467.15325999999999</v>
      </c>
      <c r="G249" s="671" t="s">
        <v>347</v>
      </c>
      <c r="H249" s="677">
        <v>1</v>
      </c>
      <c r="I249" s="672" t="str">
        <f>IF('Plot By Plot SoA'!P274=0,"-",'Plot By Plot SoA'!P274)</f>
        <v>-</v>
      </c>
      <c r="J249" s="671" t="s">
        <v>358</v>
      </c>
      <c r="K249" s="672" t="str">
        <f>IF('Plot By Plot SoA'!J274=0,"-",'Plot By Plot SoA'!J274)</f>
        <v>Balcony</v>
      </c>
      <c r="L249" s="675" t="s">
        <v>77</v>
      </c>
    </row>
    <row r="250" spans="1:12" x14ac:dyDescent="0.35">
      <c r="A250" s="1658"/>
      <c r="B250" s="671">
        <v>244</v>
      </c>
      <c r="C250" s="671" t="s">
        <v>17</v>
      </c>
      <c r="D250" s="672" t="s">
        <v>374</v>
      </c>
      <c r="E250" s="671">
        <v>43.4</v>
      </c>
      <c r="F250" s="673">
        <f t="shared" si="9"/>
        <v>467.15325999999999</v>
      </c>
      <c r="G250" s="671" t="s">
        <v>347</v>
      </c>
      <c r="H250" s="677">
        <v>1</v>
      </c>
      <c r="I250" s="672" t="str">
        <f>IF('Plot By Plot SoA'!P275=0,"-",'Plot By Plot SoA'!P275)</f>
        <v>-</v>
      </c>
      <c r="J250" s="671" t="s">
        <v>358</v>
      </c>
      <c r="K250" s="672" t="str">
        <f>IF('Plot By Plot SoA'!J275=0,"-",'Plot By Plot SoA'!J275)</f>
        <v>Community Amenity</v>
      </c>
      <c r="L250" s="675" t="s">
        <v>77</v>
      </c>
    </row>
    <row r="251" spans="1:12" x14ac:dyDescent="0.35">
      <c r="A251" s="1658"/>
      <c r="B251" s="671">
        <v>245</v>
      </c>
      <c r="C251" s="671" t="s">
        <v>17</v>
      </c>
      <c r="D251" s="672" t="s">
        <v>374</v>
      </c>
      <c r="E251" s="671">
        <v>43.4</v>
      </c>
      <c r="F251" s="673">
        <f t="shared" si="9"/>
        <v>467.15325999999999</v>
      </c>
      <c r="G251" s="671" t="s">
        <v>347</v>
      </c>
      <c r="H251" s="677">
        <v>1</v>
      </c>
      <c r="I251" s="672" t="str">
        <f>IF('Plot By Plot SoA'!P276=0,"-",'Plot By Plot SoA'!P276)</f>
        <v>-</v>
      </c>
      <c r="J251" s="671" t="s">
        <v>358</v>
      </c>
      <c r="K251" s="672" t="str">
        <f>IF('Plot By Plot SoA'!J276=0,"-",'Plot By Plot SoA'!J276)</f>
        <v>Balcony</v>
      </c>
      <c r="L251" s="675" t="s">
        <v>77</v>
      </c>
    </row>
    <row r="252" spans="1:12" x14ac:dyDescent="0.35">
      <c r="A252" s="1658"/>
      <c r="B252" s="671">
        <v>246</v>
      </c>
      <c r="C252" s="671" t="s">
        <v>17</v>
      </c>
      <c r="D252" s="672" t="s">
        <v>374</v>
      </c>
      <c r="E252" s="671">
        <v>43.4</v>
      </c>
      <c r="F252" s="673">
        <f t="shared" si="9"/>
        <v>467.15325999999999</v>
      </c>
      <c r="G252" s="671" t="s">
        <v>347</v>
      </c>
      <c r="H252" s="677">
        <v>1</v>
      </c>
      <c r="I252" s="672" t="str">
        <f>IF('Plot By Plot SoA'!P277=0,"-",'Plot By Plot SoA'!P277)</f>
        <v>-</v>
      </c>
      <c r="J252" s="671" t="s">
        <v>358</v>
      </c>
      <c r="K252" s="672" t="str">
        <f>IF('Plot By Plot SoA'!J277=0,"-",'Plot By Plot SoA'!J277)</f>
        <v>Community Amenity</v>
      </c>
      <c r="L252" s="675" t="s">
        <v>77</v>
      </c>
    </row>
    <row r="253" spans="1:12" x14ac:dyDescent="0.35">
      <c r="A253" s="1658"/>
      <c r="B253" s="671">
        <v>247</v>
      </c>
      <c r="C253" s="671" t="s">
        <v>17</v>
      </c>
      <c r="D253" s="672" t="s">
        <v>374</v>
      </c>
      <c r="E253" s="671">
        <v>43.4</v>
      </c>
      <c r="F253" s="673">
        <f t="shared" si="9"/>
        <v>467.15325999999999</v>
      </c>
      <c r="G253" s="671" t="s">
        <v>347</v>
      </c>
      <c r="H253" s="677">
        <v>1</v>
      </c>
      <c r="I253" s="672" t="str">
        <f>IF('Plot By Plot SoA'!P278=0,"-",'Plot By Plot SoA'!P278)</f>
        <v>-</v>
      </c>
      <c r="J253" s="671" t="s">
        <v>358</v>
      </c>
      <c r="K253" s="672" t="str">
        <f>IF('Plot By Plot SoA'!J278=0,"-",'Plot By Plot SoA'!J278)</f>
        <v>Balcony</v>
      </c>
      <c r="L253" s="675" t="s">
        <v>77</v>
      </c>
    </row>
    <row r="254" spans="1:12" x14ac:dyDescent="0.35">
      <c r="A254" s="1658"/>
      <c r="B254" s="671">
        <v>248</v>
      </c>
      <c r="C254" s="671" t="s">
        <v>17</v>
      </c>
      <c r="D254" s="672" t="s">
        <v>374</v>
      </c>
      <c r="E254" s="671">
        <v>43.4</v>
      </c>
      <c r="F254" s="673">
        <f t="shared" si="9"/>
        <v>467.15325999999999</v>
      </c>
      <c r="G254" s="671" t="s">
        <v>347</v>
      </c>
      <c r="H254" s="677">
        <v>1</v>
      </c>
      <c r="I254" s="672" t="str">
        <f>IF('Plot By Plot SoA'!P279=0,"-",'Plot By Plot SoA'!P279)</f>
        <v>-</v>
      </c>
      <c r="J254" s="671" t="s">
        <v>358</v>
      </c>
      <c r="K254" s="672" t="str">
        <f>IF('Plot By Plot SoA'!J279=0,"-",'Plot By Plot SoA'!J279)</f>
        <v>Community Amenity</v>
      </c>
      <c r="L254" s="675" t="s">
        <v>77</v>
      </c>
    </row>
    <row r="255" spans="1:12" x14ac:dyDescent="0.35">
      <c r="A255" s="1658"/>
      <c r="B255" s="671">
        <v>249</v>
      </c>
      <c r="C255" s="671" t="s">
        <v>17</v>
      </c>
      <c r="D255" s="672" t="s">
        <v>374</v>
      </c>
      <c r="E255" s="671">
        <v>51.2</v>
      </c>
      <c r="F255" s="673">
        <f t="shared" si="9"/>
        <v>551.11167999999998</v>
      </c>
      <c r="G255" s="671" t="s">
        <v>347</v>
      </c>
      <c r="H255" s="677">
        <v>1</v>
      </c>
      <c r="I255" s="672" t="str">
        <f>IF('Plot By Plot SoA'!P280=0,"-",'Plot By Plot SoA'!P280)</f>
        <v>-</v>
      </c>
      <c r="J255" s="671" t="s">
        <v>358</v>
      </c>
      <c r="K255" s="672" t="str">
        <f>IF('Plot By Plot SoA'!J280=0,"-",'Plot By Plot SoA'!J280)</f>
        <v>Balcony</v>
      </c>
      <c r="L255" s="675" t="s">
        <v>77</v>
      </c>
    </row>
    <row r="256" spans="1:12" x14ac:dyDescent="0.35">
      <c r="A256" s="1658"/>
      <c r="B256" s="671">
        <v>250</v>
      </c>
      <c r="C256" s="671" t="s">
        <v>17</v>
      </c>
      <c r="D256" s="672" t="s">
        <v>374</v>
      </c>
      <c r="E256" s="671">
        <v>43.4</v>
      </c>
      <c r="F256" s="673">
        <f t="shared" si="9"/>
        <v>467.15325999999999</v>
      </c>
      <c r="G256" s="671" t="s">
        <v>347</v>
      </c>
      <c r="H256" s="677">
        <v>1</v>
      </c>
      <c r="I256" s="672" t="str">
        <f>IF('Plot By Plot SoA'!P281=0,"-",'Plot By Plot SoA'!P281)</f>
        <v>-</v>
      </c>
      <c r="J256" s="671" t="s">
        <v>358</v>
      </c>
      <c r="K256" s="672" t="str">
        <f>IF('Plot By Plot SoA'!J281=0,"-",'Plot By Plot SoA'!J281)</f>
        <v>Community Amenity</v>
      </c>
      <c r="L256" s="675" t="s">
        <v>77</v>
      </c>
    </row>
    <row r="257" spans="1:12" x14ac:dyDescent="0.35">
      <c r="A257" s="1658"/>
      <c r="B257" s="671">
        <v>251</v>
      </c>
      <c r="C257" s="671" t="s">
        <v>17</v>
      </c>
      <c r="D257" s="672" t="s">
        <v>374</v>
      </c>
      <c r="E257" s="671">
        <v>43.4</v>
      </c>
      <c r="F257" s="673">
        <f t="shared" si="9"/>
        <v>467.15325999999999</v>
      </c>
      <c r="G257" s="671" t="s">
        <v>347</v>
      </c>
      <c r="H257" s="678">
        <v>1</v>
      </c>
      <c r="I257" s="672" t="str">
        <f>IF('Plot By Plot SoA'!P282=0,"-",'Plot By Plot SoA'!P282)</f>
        <v>-</v>
      </c>
      <c r="J257" s="671" t="s">
        <v>358</v>
      </c>
      <c r="K257" s="672" t="str">
        <f>IF('Plot By Plot SoA'!J282=0,"-",'Plot By Plot SoA'!J282)</f>
        <v>Community Amenity</v>
      </c>
      <c r="L257" s="675" t="s">
        <v>77</v>
      </c>
    </row>
    <row r="258" spans="1:12" x14ac:dyDescent="0.35">
      <c r="A258" s="1658"/>
      <c r="B258" s="671">
        <v>252</v>
      </c>
      <c r="C258" s="671" t="s">
        <v>17</v>
      </c>
      <c r="D258" s="672" t="s">
        <v>374</v>
      </c>
      <c r="E258" s="671">
        <v>57.8</v>
      </c>
      <c r="F258" s="673">
        <f>SUM(E258*10.7639)</f>
        <v>622.15341999999998</v>
      </c>
      <c r="G258" s="671" t="s">
        <v>347</v>
      </c>
      <c r="H258" s="677">
        <v>1</v>
      </c>
      <c r="I258" s="672" t="str">
        <f>IF('Plot By Plot SoA'!P283=0,"-",'Plot By Plot SoA'!P283)</f>
        <v>-</v>
      </c>
      <c r="J258" s="671" t="s">
        <v>358</v>
      </c>
      <c r="K258" s="672" t="str">
        <f>IF('Plot By Plot SoA'!J283=0,"-",'Plot By Plot SoA'!J283)</f>
        <v>Balcony</v>
      </c>
      <c r="L258" s="675">
        <v>74</v>
      </c>
    </row>
    <row r="259" spans="1:12" x14ac:dyDescent="0.35">
      <c r="A259" s="1658"/>
      <c r="B259" s="671">
        <v>253</v>
      </c>
      <c r="C259" s="671" t="s">
        <v>17</v>
      </c>
      <c r="D259" s="672" t="s">
        <v>375</v>
      </c>
      <c r="E259" s="671">
        <v>43.4</v>
      </c>
      <c r="F259" s="673">
        <f t="shared" si="9"/>
        <v>467.15325999999999</v>
      </c>
      <c r="G259" s="671" t="s">
        <v>347</v>
      </c>
      <c r="H259" s="677">
        <v>1</v>
      </c>
      <c r="I259" s="672" t="str">
        <f>IF('Plot By Plot SoA'!P284=0,"-",'Plot By Plot SoA'!P284)</f>
        <v>-</v>
      </c>
      <c r="J259" s="671" t="s">
        <v>358</v>
      </c>
      <c r="K259" s="672" t="str">
        <f>IF('Plot By Plot SoA'!J284=0,"-",'Plot By Plot SoA'!J284)</f>
        <v>Community Amenity</v>
      </c>
      <c r="L259" s="675" t="s">
        <v>77</v>
      </c>
    </row>
    <row r="260" spans="1:12" x14ac:dyDescent="0.35">
      <c r="A260" s="1658"/>
      <c r="B260" s="671">
        <v>254</v>
      </c>
      <c r="C260" s="671" t="s">
        <v>17</v>
      </c>
      <c r="D260" s="672" t="s">
        <v>375</v>
      </c>
      <c r="E260" s="671">
        <v>43.4</v>
      </c>
      <c r="F260" s="673">
        <f t="shared" si="9"/>
        <v>467.15325999999999</v>
      </c>
      <c r="G260" s="671" t="s">
        <v>347</v>
      </c>
      <c r="H260" s="677">
        <v>1</v>
      </c>
      <c r="I260" s="672" t="str">
        <f>IF('Plot By Plot SoA'!P285=0,"-",'Plot By Plot SoA'!P285)</f>
        <v>-</v>
      </c>
      <c r="J260" s="671" t="s">
        <v>358</v>
      </c>
      <c r="K260" s="672" t="str">
        <f>IF('Plot By Plot SoA'!J285=0,"-",'Plot By Plot SoA'!J285)</f>
        <v>Balcony</v>
      </c>
      <c r="L260" s="675">
        <v>89</v>
      </c>
    </row>
    <row r="261" spans="1:12" x14ac:dyDescent="0.35">
      <c r="A261" s="1658"/>
      <c r="B261" s="671">
        <v>255</v>
      </c>
      <c r="C261" s="671" t="s">
        <v>17</v>
      </c>
      <c r="D261" s="672" t="s">
        <v>375</v>
      </c>
      <c r="E261" s="671">
        <v>43.4</v>
      </c>
      <c r="F261" s="673">
        <f t="shared" si="9"/>
        <v>467.15325999999999</v>
      </c>
      <c r="G261" s="671" t="s">
        <v>347</v>
      </c>
      <c r="H261" s="677">
        <v>1</v>
      </c>
      <c r="I261" s="672" t="str">
        <f>IF('Plot By Plot SoA'!P286=0,"-",'Plot By Plot SoA'!P286)</f>
        <v>-</v>
      </c>
      <c r="J261" s="671" t="s">
        <v>358</v>
      </c>
      <c r="K261" s="672" t="str">
        <f>IF('Plot By Plot SoA'!J286=0,"-",'Plot By Plot SoA'!J286)</f>
        <v>Community Amenity</v>
      </c>
      <c r="L261" s="675" t="s">
        <v>77</v>
      </c>
    </row>
    <row r="262" spans="1:12" x14ac:dyDescent="0.35">
      <c r="A262" s="1658"/>
      <c r="B262" s="671">
        <v>256</v>
      </c>
      <c r="C262" s="671" t="s">
        <v>17</v>
      </c>
      <c r="D262" s="672" t="s">
        <v>375</v>
      </c>
      <c r="E262" s="671">
        <v>43.4</v>
      </c>
      <c r="F262" s="673">
        <f t="shared" si="9"/>
        <v>467.15325999999999</v>
      </c>
      <c r="G262" s="671" t="s">
        <v>347</v>
      </c>
      <c r="H262" s="677">
        <v>1</v>
      </c>
      <c r="I262" s="672" t="str">
        <f>IF('Plot By Plot SoA'!P287=0,"-",'Plot By Plot SoA'!P287)</f>
        <v>-</v>
      </c>
      <c r="J262" s="671" t="s">
        <v>358</v>
      </c>
      <c r="K262" s="672" t="str">
        <f>IF('Plot By Plot SoA'!J287=0,"-",'Plot By Plot SoA'!J287)</f>
        <v>Balcony</v>
      </c>
      <c r="L262" s="675">
        <v>89</v>
      </c>
    </row>
    <row r="263" spans="1:12" x14ac:dyDescent="0.35">
      <c r="A263" s="1658"/>
      <c r="B263" s="671">
        <v>257</v>
      </c>
      <c r="C263" s="671" t="s">
        <v>17</v>
      </c>
      <c r="D263" s="672" t="s">
        <v>375</v>
      </c>
      <c r="E263" s="671">
        <v>43.4</v>
      </c>
      <c r="F263" s="673">
        <f t="shared" si="9"/>
        <v>467.15325999999999</v>
      </c>
      <c r="G263" s="671" t="s">
        <v>347</v>
      </c>
      <c r="H263" s="677">
        <v>1</v>
      </c>
      <c r="I263" s="672" t="str">
        <f>IF('Plot By Plot SoA'!P288=0,"-",'Plot By Plot SoA'!P288)</f>
        <v>-</v>
      </c>
      <c r="J263" s="671" t="s">
        <v>358</v>
      </c>
      <c r="K263" s="672" t="str">
        <f>IF('Plot By Plot SoA'!J288=0,"-",'Plot By Plot SoA'!J288)</f>
        <v>Community Amenity</v>
      </c>
      <c r="L263" s="675" t="s">
        <v>77</v>
      </c>
    </row>
    <row r="264" spans="1:12" x14ac:dyDescent="0.35">
      <c r="A264" s="1658"/>
      <c r="B264" s="671">
        <v>258</v>
      </c>
      <c r="C264" s="671" t="s">
        <v>17</v>
      </c>
      <c r="D264" s="672" t="s">
        <v>375</v>
      </c>
      <c r="E264" s="671">
        <v>43.4</v>
      </c>
      <c r="F264" s="673">
        <f t="shared" ref="F264:F311" si="10">SUM(E264*10.7639)</f>
        <v>467.15325999999999</v>
      </c>
      <c r="G264" s="671" t="s">
        <v>347</v>
      </c>
      <c r="H264" s="677">
        <v>1</v>
      </c>
      <c r="I264" s="672" t="str">
        <f>IF('Plot By Plot SoA'!P289=0,"-",'Plot By Plot SoA'!P289)</f>
        <v>-</v>
      </c>
      <c r="J264" s="671" t="s">
        <v>358</v>
      </c>
      <c r="K264" s="672" t="str">
        <f>IF('Plot By Plot SoA'!J289=0,"-",'Plot By Plot SoA'!J289)</f>
        <v>Balcony</v>
      </c>
      <c r="L264" s="675">
        <v>89</v>
      </c>
    </row>
    <row r="265" spans="1:12" x14ac:dyDescent="0.35">
      <c r="A265" s="1658"/>
      <c r="B265" s="671">
        <v>259</v>
      </c>
      <c r="C265" s="671" t="s">
        <v>17</v>
      </c>
      <c r="D265" s="672" t="s">
        <v>375</v>
      </c>
      <c r="E265" s="671">
        <v>43.4</v>
      </c>
      <c r="F265" s="673">
        <f t="shared" si="10"/>
        <v>467.15325999999999</v>
      </c>
      <c r="G265" s="671" t="s">
        <v>347</v>
      </c>
      <c r="H265" s="677">
        <v>1</v>
      </c>
      <c r="I265" s="672" t="str">
        <f>IF('Plot By Plot SoA'!P290=0,"-",'Plot By Plot SoA'!P290)</f>
        <v>-</v>
      </c>
      <c r="J265" s="671" t="s">
        <v>358</v>
      </c>
      <c r="K265" s="672" t="str">
        <f>IF('Plot By Plot SoA'!J290=0,"-",'Plot By Plot SoA'!J290)</f>
        <v>Community Amenity</v>
      </c>
      <c r="L265" s="675" t="s">
        <v>77</v>
      </c>
    </row>
    <row r="266" spans="1:12" x14ac:dyDescent="0.35">
      <c r="A266" s="1658"/>
      <c r="B266" s="671">
        <v>260</v>
      </c>
      <c r="C266" s="671" t="s">
        <v>17</v>
      </c>
      <c r="D266" s="672" t="s">
        <v>375</v>
      </c>
      <c r="E266" s="671">
        <v>51.2</v>
      </c>
      <c r="F266" s="673">
        <f t="shared" si="10"/>
        <v>551.11167999999998</v>
      </c>
      <c r="G266" s="671" t="s">
        <v>347</v>
      </c>
      <c r="H266" s="677">
        <v>1</v>
      </c>
      <c r="I266" s="672" t="str">
        <f>IF('Plot By Plot SoA'!P291=0,"-",'Plot By Plot SoA'!P291)</f>
        <v>-</v>
      </c>
      <c r="J266" s="671" t="s">
        <v>358</v>
      </c>
      <c r="K266" s="672" t="str">
        <f>IF('Plot By Plot SoA'!J291=0,"-",'Plot By Plot SoA'!J291)</f>
        <v>Balcony</v>
      </c>
      <c r="L266" s="675">
        <v>89</v>
      </c>
    </row>
    <row r="267" spans="1:12" x14ac:dyDescent="0.35">
      <c r="A267" s="1658"/>
      <c r="B267" s="671">
        <v>261</v>
      </c>
      <c r="C267" s="671" t="s">
        <v>17</v>
      </c>
      <c r="D267" s="672" t="s">
        <v>375</v>
      </c>
      <c r="E267" s="671">
        <v>43.4</v>
      </c>
      <c r="F267" s="673">
        <f t="shared" si="10"/>
        <v>467.15325999999999</v>
      </c>
      <c r="G267" s="671" t="s">
        <v>347</v>
      </c>
      <c r="H267" s="677">
        <v>1</v>
      </c>
      <c r="I267" s="672" t="str">
        <f>IF('Plot By Plot SoA'!P292=0,"-",'Plot By Plot SoA'!P292)</f>
        <v>-</v>
      </c>
      <c r="J267" s="671" t="s">
        <v>358</v>
      </c>
      <c r="K267" s="672" t="str">
        <f>IF('Plot By Plot SoA'!J292=0,"-",'Plot By Plot SoA'!J292)</f>
        <v>Community Amenity</v>
      </c>
      <c r="L267" s="675" t="s">
        <v>77</v>
      </c>
    </row>
    <row r="268" spans="1:12" x14ac:dyDescent="0.35">
      <c r="A268" s="1658"/>
      <c r="B268" s="671">
        <v>262</v>
      </c>
      <c r="C268" s="671" t="s">
        <v>17</v>
      </c>
      <c r="D268" s="672" t="s">
        <v>375</v>
      </c>
      <c r="E268" s="671">
        <v>43.4</v>
      </c>
      <c r="F268" s="673">
        <f t="shared" si="10"/>
        <v>467.15325999999999</v>
      </c>
      <c r="G268" s="671" t="s">
        <v>347</v>
      </c>
      <c r="H268" s="677">
        <v>1</v>
      </c>
      <c r="I268" s="672" t="str">
        <f>IF('Plot By Plot SoA'!P293=0,"-",'Plot By Plot SoA'!P293)</f>
        <v>-</v>
      </c>
      <c r="J268" s="671" t="s">
        <v>358</v>
      </c>
      <c r="K268" s="672" t="str">
        <f>IF('Plot By Plot SoA'!J293=0,"-",'Plot By Plot SoA'!J293)</f>
        <v>Community Amenity</v>
      </c>
      <c r="L268" s="675" t="s">
        <v>77</v>
      </c>
    </row>
    <row r="269" spans="1:12" x14ac:dyDescent="0.35">
      <c r="A269" s="1658"/>
      <c r="B269" s="671">
        <v>263</v>
      </c>
      <c r="C269" s="671" t="s">
        <v>17</v>
      </c>
      <c r="D269" s="672" t="s">
        <v>376</v>
      </c>
      <c r="E269" s="671">
        <v>43.4</v>
      </c>
      <c r="F269" s="673">
        <f t="shared" si="10"/>
        <v>467.15325999999999</v>
      </c>
      <c r="G269" s="671" t="s">
        <v>347</v>
      </c>
      <c r="H269" s="677">
        <v>1</v>
      </c>
      <c r="I269" s="672" t="str">
        <f>IF('Plot By Plot SoA'!P294=0,"-",'Plot By Plot SoA'!P294)</f>
        <v>-</v>
      </c>
      <c r="J269" s="671" t="s">
        <v>358</v>
      </c>
      <c r="K269" s="672" t="str">
        <f>IF('Plot By Plot SoA'!J294=0,"-",'Plot By Plot SoA'!J294)</f>
        <v>Community Amenity</v>
      </c>
      <c r="L269" s="675" t="s">
        <v>77</v>
      </c>
    </row>
    <row r="270" spans="1:12" x14ac:dyDescent="0.35">
      <c r="A270" s="1658"/>
      <c r="B270" s="671">
        <v>264</v>
      </c>
      <c r="C270" s="671" t="s">
        <v>17</v>
      </c>
      <c r="D270" s="672" t="s">
        <v>376</v>
      </c>
      <c r="E270" s="671">
        <v>43.4</v>
      </c>
      <c r="F270" s="673">
        <f t="shared" si="10"/>
        <v>467.15325999999999</v>
      </c>
      <c r="G270" s="671" t="s">
        <v>347</v>
      </c>
      <c r="H270" s="677">
        <v>1</v>
      </c>
      <c r="I270" s="672" t="str">
        <f>IF('Plot By Plot SoA'!P295=0,"-",'Plot By Plot SoA'!P295)</f>
        <v>-</v>
      </c>
      <c r="J270" s="671" t="s">
        <v>358</v>
      </c>
      <c r="K270" s="672" t="str">
        <f>IF('Plot By Plot SoA'!J295=0,"-",'Plot By Plot SoA'!J295)</f>
        <v>Balcony</v>
      </c>
      <c r="L270" s="675" t="s">
        <v>77</v>
      </c>
    </row>
    <row r="271" spans="1:12" x14ac:dyDescent="0.35">
      <c r="A271" s="1658"/>
      <c r="B271" s="671">
        <v>265</v>
      </c>
      <c r="C271" s="671" t="s">
        <v>17</v>
      </c>
      <c r="D271" s="672" t="s">
        <v>376</v>
      </c>
      <c r="E271" s="671">
        <v>43.4</v>
      </c>
      <c r="F271" s="673">
        <f t="shared" si="10"/>
        <v>467.15325999999999</v>
      </c>
      <c r="G271" s="671" t="s">
        <v>347</v>
      </c>
      <c r="H271" s="677">
        <v>1</v>
      </c>
      <c r="I271" s="672" t="str">
        <f>IF('Plot By Plot SoA'!P296=0,"-",'Plot By Plot SoA'!P296)</f>
        <v>-</v>
      </c>
      <c r="J271" s="671" t="s">
        <v>358</v>
      </c>
      <c r="K271" s="672" t="str">
        <f>IF('Plot By Plot SoA'!J296=0,"-",'Plot By Plot SoA'!J296)</f>
        <v>Community Amenity</v>
      </c>
      <c r="L271" s="675" t="s">
        <v>77</v>
      </c>
    </row>
    <row r="272" spans="1:12" x14ac:dyDescent="0.35">
      <c r="A272" s="1658"/>
      <c r="B272" s="671">
        <v>266</v>
      </c>
      <c r="C272" s="671" t="s">
        <v>17</v>
      </c>
      <c r="D272" s="672" t="s">
        <v>376</v>
      </c>
      <c r="E272" s="671">
        <v>43.4</v>
      </c>
      <c r="F272" s="673">
        <f t="shared" si="10"/>
        <v>467.15325999999999</v>
      </c>
      <c r="G272" s="671" t="s">
        <v>347</v>
      </c>
      <c r="H272" s="677">
        <v>1</v>
      </c>
      <c r="I272" s="672" t="str">
        <f>IF('Plot By Plot SoA'!P297=0,"-",'Plot By Plot SoA'!P297)</f>
        <v>-</v>
      </c>
      <c r="J272" s="671" t="s">
        <v>358</v>
      </c>
      <c r="K272" s="672" t="str">
        <f>IF('Plot By Plot SoA'!J297=0,"-",'Plot By Plot SoA'!J297)</f>
        <v>Balcony</v>
      </c>
      <c r="L272" s="675" t="s">
        <v>77</v>
      </c>
    </row>
    <row r="273" spans="1:12" x14ac:dyDescent="0.35">
      <c r="A273" s="1658"/>
      <c r="B273" s="671">
        <v>267</v>
      </c>
      <c r="C273" s="671" t="s">
        <v>17</v>
      </c>
      <c r="D273" s="672" t="s">
        <v>376</v>
      </c>
      <c r="E273" s="671">
        <v>43.4</v>
      </c>
      <c r="F273" s="673">
        <f t="shared" si="10"/>
        <v>467.15325999999999</v>
      </c>
      <c r="G273" s="671" t="s">
        <v>347</v>
      </c>
      <c r="H273" s="677">
        <v>1</v>
      </c>
      <c r="I273" s="672" t="str">
        <f>IF('Plot By Plot SoA'!P298=0,"-",'Plot By Plot SoA'!P298)</f>
        <v>-</v>
      </c>
      <c r="J273" s="671" t="s">
        <v>358</v>
      </c>
      <c r="K273" s="672" t="str">
        <f>IF('Plot By Plot SoA'!J298=0,"-",'Plot By Plot SoA'!J298)</f>
        <v>Community Amenity</v>
      </c>
      <c r="L273" s="675" t="s">
        <v>77</v>
      </c>
    </row>
    <row r="274" spans="1:12" x14ac:dyDescent="0.35">
      <c r="A274" s="1658"/>
      <c r="B274" s="671">
        <v>268</v>
      </c>
      <c r="C274" s="671" t="s">
        <v>17</v>
      </c>
      <c r="D274" s="672" t="s">
        <v>376</v>
      </c>
      <c r="E274" s="671">
        <v>43.4</v>
      </c>
      <c r="F274" s="673">
        <f t="shared" si="10"/>
        <v>467.15325999999999</v>
      </c>
      <c r="G274" s="671" t="s">
        <v>347</v>
      </c>
      <c r="H274" s="678">
        <v>1</v>
      </c>
      <c r="I274" s="672" t="str">
        <f>IF('Plot By Plot SoA'!P299=0,"-",'Plot By Plot SoA'!P299)</f>
        <v>-</v>
      </c>
      <c r="J274" s="671" t="s">
        <v>358</v>
      </c>
      <c r="K274" s="672" t="str">
        <f>IF('Plot By Plot SoA'!J299=0,"-",'Plot By Plot SoA'!J299)</f>
        <v>Balcony</v>
      </c>
      <c r="L274" s="675" t="s">
        <v>77</v>
      </c>
    </row>
    <row r="275" spans="1:12" x14ac:dyDescent="0.35">
      <c r="A275" s="1658"/>
      <c r="B275" s="671">
        <v>269</v>
      </c>
      <c r="C275" s="671" t="s">
        <v>17</v>
      </c>
      <c r="D275" s="672" t="s">
        <v>376</v>
      </c>
      <c r="E275" s="671">
        <v>43.4</v>
      </c>
      <c r="F275" s="673">
        <f t="shared" si="10"/>
        <v>467.15325999999999</v>
      </c>
      <c r="G275" s="671" t="s">
        <v>347</v>
      </c>
      <c r="H275" s="677">
        <v>1</v>
      </c>
      <c r="I275" s="672" t="str">
        <f>IF('Plot By Plot SoA'!P300=0,"-",'Plot By Plot SoA'!P300)</f>
        <v>-</v>
      </c>
      <c r="J275" s="671" t="s">
        <v>358</v>
      </c>
      <c r="K275" s="672" t="str">
        <f>IF('Plot By Plot SoA'!J300=0,"-",'Plot By Plot SoA'!J300)</f>
        <v>Community Amenity</v>
      </c>
      <c r="L275" s="675" t="s">
        <v>77</v>
      </c>
    </row>
    <row r="276" spans="1:12" x14ac:dyDescent="0.35">
      <c r="A276" s="1658"/>
      <c r="B276" s="671">
        <v>270</v>
      </c>
      <c r="C276" s="671" t="s">
        <v>17</v>
      </c>
      <c r="D276" s="672" t="s">
        <v>376</v>
      </c>
      <c r="E276" s="671">
        <v>51.2</v>
      </c>
      <c r="F276" s="673">
        <f t="shared" si="10"/>
        <v>551.11167999999998</v>
      </c>
      <c r="G276" s="671" t="s">
        <v>347</v>
      </c>
      <c r="H276" s="676">
        <v>1</v>
      </c>
      <c r="I276" s="672" t="str">
        <f>IF('Plot By Plot SoA'!P301=0,"-",'Plot By Plot SoA'!P301)</f>
        <v>-</v>
      </c>
      <c r="J276" s="671" t="s">
        <v>358</v>
      </c>
      <c r="K276" s="672" t="str">
        <f>IF('Plot By Plot SoA'!J301=0,"-",'Plot By Plot SoA'!J301)</f>
        <v>Balcony</v>
      </c>
      <c r="L276" s="675" t="s">
        <v>77</v>
      </c>
    </row>
    <row r="277" spans="1:12" x14ac:dyDescent="0.35">
      <c r="A277" s="1658"/>
      <c r="B277" s="671">
        <v>271</v>
      </c>
      <c r="C277" s="671" t="s">
        <v>17</v>
      </c>
      <c r="D277" s="672" t="s">
        <v>376</v>
      </c>
      <c r="E277" s="671">
        <v>43.4</v>
      </c>
      <c r="F277" s="673">
        <f t="shared" si="10"/>
        <v>467.15325999999999</v>
      </c>
      <c r="G277" s="671" t="s">
        <v>347</v>
      </c>
      <c r="H277" s="676">
        <v>1</v>
      </c>
      <c r="I277" s="672" t="str">
        <f>IF('Plot By Plot SoA'!P302=0,"-",'Plot By Plot SoA'!P302)</f>
        <v>-</v>
      </c>
      <c r="J277" s="671" t="s">
        <v>358</v>
      </c>
      <c r="K277" s="672" t="str">
        <f>IF('Plot By Plot SoA'!J302=0,"-",'Plot By Plot SoA'!J302)</f>
        <v>Community Amenity</v>
      </c>
      <c r="L277" s="675" t="s">
        <v>77</v>
      </c>
    </row>
    <row r="278" spans="1:12" x14ac:dyDescent="0.35">
      <c r="A278" s="1658"/>
      <c r="B278" s="671">
        <v>272</v>
      </c>
      <c r="C278" s="671" t="s">
        <v>17</v>
      </c>
      <c r="D278" s="672" t="s">
        <v>376</v>
      </c>
      <c r="E278" s="671">
        <v>43.4</v>
      </c>
      <c r="F278" s="673">
        <f t="shared" si="10"/>
        <v>467.15325999999999</v>
      </c>
      <c r="G278" s="671" t="s">
        <v>347</v>
      </c>
      <c r="H278" s="677">
        <v>1</v>
      </c>
      <c r="I278" s="672" t="str">
        <f>IF('Plot By Plot SoA'!P303=0,"-",'Plot By Plot SoA'!P303)</f>
        <v>-</v>
      </c>
      <c r="J278" s="671" t="s">
        <v>358</v>
      </c>
      <c r="K278" s="672" t="str">
        <f>IF('Plot By Plot SoA'!J303=0,"-",'Plot By Plot SoA'!J303)</f>
        <v>Community Amenity</v>
      </c>
      <c r="L278" s="675" t="s">
        <v>77</v>
      </c>
    </row>
    <row r="279" spans="1:12" x14ac:dyDescent="0.35">
      <c r="A279" s="1658"/>
      <c r="B279" s="671">
        <v>273</v>
      </c>
      <c r="C279" s="671" t="s">
        <v>342</v>
      </c>
      <c r="D279" s="672" t="s">
        <v>370</v>
      </c>
      <c r="E279" s="671">
        <v>50.8</v>
      </c>
      <c r="F279" s="673">
        <f t="shared" si="10"/>
        <v>546.80611999999996</v>
      </c>
      <c r="G279" s="671" t="s">
        <v>347</v>
      </c>
      <c r="H279" s="677">
        <v>1</v>
      </c>
      <c r="I279" s="672" t="str">
        <f>IF('Plot By Plot SoA'!P304=0,"-",'Plot By Plot SoA'!P304)</f>
        <v>-</v>
      </c>
      <c r="J279" s="671" t="s">
        <v>358</v>
      </c>
      <c r="K279" s="672" t="str">
        <f>IF('Plot By Plot SoA'!J304=0,"-",'Plot By Plot SoA'!J304)</f>
        <v>Frontage Amenity</v>
      </c>
      <c r="L279" s="675">
        <v>74</v>
      </c>
    </row>
    <row r="280" spans="1:12" x14ac:dyDescent="0.35">
      <c r="A280" s="1658"/>
      <c r="B280" s="671">
        <v>274</v>
      </c>
      <c r="C280" s="671" t="s">
        <v>342</v>
      </c>
      <c r="D280" s="672" t="s">
        <v>370</v>
      </c>
      <c r="E280" s="671">
        <v>39.200000000000003</v>
      </c>
      <c r="F280" s="673">
        <f t="shared" si="10"/>
        <v>421.94488000000001</v>
      </c>
      <c r="G280" s="671" t="s">
        <v>347</v>
      </c>
      <c r="H280" s="677">
        <v>1</v>
      </c>
      <c r="I280" s="672" t="str">
        <f>IF('Plot By Plot SoA'!P305=0,"-",'Plot By Plot SoA'!P305)</f>
        <v>-</v>
      </c>
      <c r="J280" s="671" t="s">
        <v>358</v>
      </c>
      <c r="K280" s="672" t="str">
        <f>IF('Plot By Plot SoA'!J305=0,"-",'Plot By Plot SoA'!J305)</f>
        <v>Community Amenity</v>
      </c>
      <c r="L280" s="675">
        <v>51</v>
      </c>
    </row>
    <row r="281" spans="1:12" x14ac:dyDescent="0.35">
      <c r="A281" s="1658"/>
      <c r="B281" s="671">
        <v>275</v>
      </c>
      <c r="C281" s="671" t="s">
        <v>16</v>
      </c>
      <c r="D281" s="672" t="s">
        <v>377</v>
      </c>
      <c r="E281" s="671">
        <v>57.8</v>
      </c>
      <c r="F281" s="673">
        <f t="shared" si="10"/>
        <v>622.15341999999998</v>
      </c>
      <c r="G281" s="671" t="s">
        <v>347</v>
      </c>
      <c r="H281" s="677">
        <v>2</v>
      </c>
      <c r="I281" s="672" t="str">
        <f>IF('Plot By Plot SoA'!P306=0,"-",'Plot By Plot SoA'!P306)</f>
        <v>-</v>
      </c>
      <c r="J281" s="671" t="s">
        <v>358</v>
      </c>
      <c r="K281" s="672" t="str">
        <f>IF('Plot By Plot SoA'!J306=0,"-",'Plot By Plot SoA'!J306)</f>
        <v>Balcony</v>
      </c>
      <c r="L281" s="675">
        <v>30</v>
      </c>
    </row>
    <row r="282" spans="1:12" x14ac:dyDescent="0.35">
      <c r="A282" s="1658"/>
      <c r="B282" s="671">
        <v>276</v>
      </c>
      <c r="C282" s="671" t="s">
        <v>16</v>
      </c>
      <c r="D282" s="672" t="s">
        <v>377</v>
      </c>
      <c r="E282" s="671">
        <v>57.8</v>
      </c>
      <c r="F282" s="673">
        <f t="shared" si="10"/>
        <v>622.15341999999998</v>
      </c>
      <c r="G282" s="671" t="s">
        <v>347</v>
      </c>
      <c r="H282" s="677">
        <v>2</v>
      </c>
      <c r="I282" s="672" t="str">
        <f>IF('Plot By Plot SoA'!P307=0,"-",'Plot By Plot SoA'!P307)</f>
        <v>-</v>
      </c>
      <c r="J282" s="671" t="s">
        <v>358</v>
      </c>
      <c r="K282" s="672" t="str">
        <f>IF('Plot By Plot SoA'!J307=0,"-",'Plot By Plot SoA'!J307)</f>
        <v>Balcony</v>
      </c>
      <c r="L282" s="675">
        <v>30</v>
      </c>
    </row>
    <row r="283" spans="1:12" x14ac:dyDescent="0.35">
      <c r="A283" s="1658"/>
      <c r="B283" s="671">
        <v>277</v>
      </c>
      <c r="C283" s="671" t="s">
        <v>17</v>
      </c>
      <c r="D283" s="672" t="s">
        <v>371</v>
      </c>
      <c r="E283" s="671">
        <v>50.1</v>
      </c>
      <c r="F283" s="673">
        <f t="shared" si="10"/>
        <v>539.27139</v>
      </c>
      <c r="G283" s="671" t="s">
        <v>347</v>
      </c>
      <c r="H283" s="677">
        <v>1</v>
      </c>
      <c r="I283" s="672" t="str">
        <f>IF('Plot By Plot SoA'!P308=0,"-",'Plot By Plot SoA'!P308)</f>
        <v>-</v>
      </c>
      <c r="J283" s="671" t="s">
        <v>358</v>
      </c>
      <c r="K283" s="672" t="str">
        <f>IF('Plot By Plot SoA'!J308=0,"-",'Plot By Plot SoA'!J308)</f>
        <v>Community Amenity</v>
      </c>
      <c r="L283" s="679" t="s">
        <v>77</v>
      </c>
    </row>
    <row r="284" spans="1:12" x14ac:dyDescent="0.35">
      <c r="A284" s="1658"/>
      <c r="B284" s="671">
        <v>278</v>
      </c>
      <c r="C284" s="671" t="s">
        <v>16</v>
      </c>
      <c r="D284" s="672" t="s">
        <v>373</v>
      </c>
      <c r="E284" s="671">
        <v>100.1</v>
      </c>
      <c r="F284" s="673">
        <f t="shared" si="10"/>
        <v>1077.4663899999998</v>
      </c>
      <c r="G284" s="671" t="s">
        <v>345</v>
      </c>
      <c r="H284" s="677">
        <v>2</v>
      </c>
      <c r="I284" s="672" t="str">
        <f>IF('Plot By Plot SoA'!P309=0,"-",'Plot By Plot SoA'!P309)</f>
        <v>-</v>
      </c>
      <c r="J284" s="671" t="s">
        <v>358</v>
      </c>
      <c r="K284" s="672" t="str">
        <f>IF('Plot By Plot SoA'!J309=0,"-",'Plot By Plot SoA'!J309)</f>
        <v>Community Amenity</v>
      </c>
      <c r="L284" s="675" t="s">
        <v>77</v>
      </c>
    </row>
    <row r="285" spans="1:12" x14ac:dyDescent="0.35">
      <c r="A285" s="1658"/>
      <c r="B285" s="671">
        <v>279</v>
      </c>
      <c r="C285" s="671" t="s">
        <v>16</v>
      </c>
      <c r="D285" s="672" t="s">
        <v>388</v>
      </c>
      <c r="E285" s="671">
        <v>57.8</v>
      </c>
      <c r="F285" s="673">
        <f t="shared" si="10"/>
        <v>622.15341999999998</v>
      </c>
      <c r="G285" s="671" t="s">
        <v>343</v>
      </c>
      <c r="H285" s="677">
        <v>2</v>
      </c>
      <c r="I285" s="672" t="str">
        <f>IF('Plot By Plot SoA'!P310=0,"-",'Plot By Plot SoA'!P310)</f>
        <v>Y</v>
      </c>
      <c r="J285" s="671" t="s">
        <v>358</v>
      </c>
      <c r="K285" s="672" t="str">
        <f>IF('Plot By Plot SoA'!J310=0,"-",'Plot By Plot SoA'!J310)</f>
        <v>Roof Terrace</v>
      </c>
      <c r="L285" s="675">
        <v>219</v>
      </c>
    </row>
    <row r="286" spans="1:12" x14ac:dyDescent="0.35">
      <c r="A286" s="1658"/>
      <c r="B286" s="671">
        <v>280</v>
      </c>
      <c r="C286" s="671" t="s">
        <v>16</v>
      </c>
      <c r="D286" s="672" t="s">
        <v>388</v>
      </c>
      <c r="E286" s="671">
        <v>57.8</v>
      </c>
      <c r="F286" s="673">
        <f t="shared" si="10"/>
        <v>622.15341999999998</v>
      </c>
      <c r="G286" s="671" t="s">
        <v>343</v>
      </c>
      <c r="H286" s="677">
        <v>2</v>
      </c>
      <c r="I286" s="672" t="str">
        <f>IF('Plot By Plot SoA'!P311=0,"-",'Plot By Plot SoA'!P311)</f>
        <v>Y</v>
      </c>
      <c r="J286" s="671" t="s">
        <v>358</v>
      </c>
      <c r="K286" s="672" t="str">
        <f>IF('Plot By Plot SoA'!J311=0,"-",'Plot By Plot SoA'!J311)</f>
        <v>Roof Terrace</v>
      </c>
      <c r="L286" s="675">
        <v>219</v>
      </c>
    </row>
    <row r="287" spans="1:12" x14ac:dyDescent="0.35">
      <c r="A287" s="1658"/>
      <c r="B287" s="671">
        <v>281</v>
      </c>
      <c r="C287" s="671" t="s">
        <v>16</v>
      </c>
      <c r="D287" s="672" t="s">
        <v>377</v>
      </c>
      <c r="E287" s="671">
        <v>69.599999999999994</v>
      </c>
      <c r="F287" s="673">
        <f t="shared" si="10"/>
        <v>749.16743999999994</v>
      </c>
      <c r="G287" s="671" t="s">
        <v>343</v>
      </c>
      <c r="H287" s="677">
        <v>2</v>
      </c>
      <c r="I287" s="672" t="str">
        <f>IF('Plot By Plot SoA'!P312=0,"-",'Plot By Plot SoA'!P312)</f>
        <v>-</v>
      </c>
      <c r="J287" s="671" t="s">
        <v>358</v>
      </c>
      <c r="K287" s="672" t="str">
        <f>IF('Plot By Plot SoA'!J312=0,"-",'Plot By Plot SoA'!J312)</f>
        <v>Balcony</v>
      </c>
      <c r="L287" s="675">
        <v>89</v>
      </c>
    </row>
    <row r="288" spans="1:12" x14ac:dyDescent="0.35">
      <c r="A288" s="1658"/>
      <c r="B288" s="671">
        <v>282</v>
      </c>
      <c r="C288" s="671" t="s">
        <v>16</v>
      </c>
      <c r="D288" s="672" t="s">
        <v>377</v>
      </c>
      <c r="E288" s="671">
        <v>69.599999999999994</v>
      </c>
      <c r="F288" s="673">
        <f t="shared" si="10"/>
        <v>749.16743999999994</v>
      </c>
      <c r="G288" s="671" t="s">
        <v>343</v>
      </c>
      <c r="H288" s="677">
        <v>2</v>
      </c>
      <c r="I288" s="672" t="str">
        <f>IF('Plot By Plot SoA'!P313=0,"-",'Plot By Plot SoA'!P313)</f>
        <v>-</v>
      </c>
      <c r="J288" s="671" t="s">
        <v>358</v>
      </c>
      <c r="K288" s="672" t="str">
        <f>IF('Plot By Plot SoA'!J313=0,"-",'Plot By Plot SoA'!J313)</f>
        <v>Balcony</v>
      </c>
      <c r="L288" s="675">
        <v>89</v>
      </c>
    </row>
    <row r="289" spans="1:12" x14ac:dyDescent="0.35">
      <c r="A289" s="1658"/>
      <c r="B289" s="671">
        <v>283</v>
      </c>
      <c r="C289" s="671" t="s">
        <v>16</v>
      </c>
      <c r="D289" s="672" t="s">
        <v>377</v>
      </c>
      <c r="E289" s="671">
        <v>69.599999999999994</v>
      </c>
      <c r="F289" s="673">
        <f t="shared" si="10"/>
        <v>749.16743999999994</v>
      </c>
      <c r="G289" s="671" t="s">
        <v>343</v>
      </c>
      <c r="H289" s="677">
        <v>2</v>
      </c>
      <c r="I289" s="672" t="str">
        <f>IF('Plot By Plot SoA'!P314=0,"-",'Plot By Plot SoA'!P314)</f>
        <v>-</v>
      </c>
      <c r="J289" s="671" t="s">
        <v>358</v>
      </c>
      <c r="K289" s="672" t="str">
        <f>IF('Plot By Plot SoA'!J314=0,"-",'Plot By Plot SoA'!J314)</f>
        <v>Balcony</v>
      </c>
      <c r="L289" s="675">
        <v>89</v>
      </c>
    </row>
    <row r="290" spans="1:12" x14ac:dyDescent="0.35">
      <c r="A290" s="1658"/>
      <c r="B290" s="671">
        <v>284</v>
      </c>
      <c r="C290" s="671" t="s">
        <v>16</v>
      </c>
      <c r="D290" s="672" t="s">
        <v>377</v>
      </c>
      <c r="E290" s="671">
        <v>69.599999999999994</v>
      </c>
      <c r="F290" s="673">
        <f t="shared" si="10"/>
        <v>749.16743999999994</v>
      </c>
      <c r="G290" s="671" t="s">
        <v>343</v>
      </c>
      <c r="H290" s="677">
        <v>2</v>
      </c>
      <c r="I290" s="672" t="str">
        <f>IF('Plot By Plot SoA'!P315=0,"-",'Plot By Plot SoA'!P315)</f>
        <v>-</v>
      </c>
      <c r="J290" s="671" t="s">
        <v>358</v>
      </c>
      <c r="K290" s="672" t="str">
        <f>IF('Plot By Plot SoA'!J315=0,"-",'Plot By Plot SoA'!J315)</f>
        <v>Balcony</v>
      </c>
      <c r="L290" s="675">
        <v>89</v>
      </c>
    </row>
    <row r="291" spans="1:12" x14ac:dyDescent="0.35">
      <c r="A291" s="1658"/>
      <c r="B291" s="671">
        <v>285</v>
      </c>
      <c r="C291" s="671" t="s">
        <v>16</v>
      </c>
      <c r="D291" s="672" t="s">
        <v>388</v>
      </c>
      <c r="E291" s="671">
        <v>87.3</v>
      </c>
      <c r="F291" s="673">
        <f t="shared" si="10"/>
        <v>939.68846999999994</v>
      </c>
      <c r="G291" s="671" t="s">
        <v>343</v>
      </c>
      <c r="H291" s="677">
        <v>2</v>
      </c>
      <c r="I291" s="672" t="str">
        <f>IF('Plot By Plot SoA'!P316=0,"-",'Plot By Plot SoA'!P316)</f>
        <v>-</v>
      </c>
      <c r="J291" s="671" t="s">
        <v>358</v>
      </c>
      <c r="K291" s="672" t="str">
        <f>IF('Plot By Plot SoA'!J316=0,"-",'Plot By Plot SoA'!J316)</f>
        <v>Balcony</v>
      </c>
      <c r="L291" s="675" t="s">
        <v>77</v>
      </c>
    </row>
    <row r="292" spans="1:12" x14ac:dyDescent="0.35">
      <c r="A292" s="1658"/>
      <c r="B292" s="671">
        <v>286</v>
      </c>
      <c r="C292" s="671" t="s">
        <v>16</v>
      </c>
      <c r="D292" s="672" t="s">
        <v>388</v>
      </c>
      <c r="E292" s="671">
        <v>87.3</v>
      </c>
      <c r="F292" s="673">
        <f t="shared" si="10"/>
        <v>939.68846999999994</v>
      </c>
      <c r="G292" s="671" t="s">
        <v>343</v>
      </c>
      <c r="H292" s="677">
        <v>2</v>
      </c>
      <c r="I292" s="672" t="str">
        <f>IF('Plot By Plot SoA'!P317=0,"-",'Plot By Plot SoA'!P317)</f>
        <v>-</v>
      </c>
      <c r="J292" s="671" t="s">
        <v>358</v>
      </c>
      <c r="K292" s="672" t="str">
        <f>IF('Plot By Plot SoA'!J317=0,"-",'Plot By Plot SoA'!J317)</f>
        <v>Balcony</v>
      </c>
      <c r="L292" s="675" t="s">
        <v>77</v>
      </c>
    </row>
    <row r="293" spans="1:12" x14ac:dyDescent="0.35">
      <c r="A293" s="1658"/>
      <c r="B293" s="671">
        <v>287</v>
      </c>
      <c r="C293" s="671" t="s">
        <v>16</v>
      </c>
      <c r="D293" s="672" t="s">
        <v>388</v>
      </c>
      <c r="E293" s="671">
        <v>69.599999999999994</v>
      </c>
      <c r="F293" s="673">
        <f t="shared" si="10"/>
        <v>749.16743999999994</v>
      </c>
      <c r="G293" s="671" t="s">
        <v>343</v>
      </c>
      <c r="H293" s="677">
        <v>2</v>
      </c>
      <c r="I293" s="672" t="str">
        <f>IF('Plot By Plot SoA'!P318=0,"-",'Plot By Plot SoA'!P318)</f>
        <v>-</v>
      </c>
      <c r="J293" s="671" t="s">
        <v>358</v>
      </c>
      <c r="K293" s="672" t="str">
        <f>IF('Plot By Plot SoA'!J318=0,"-",'Plot By Plot SoA'!J318)</f>
        <v>Balcony</v>
      </c>
      <c r="L293" s="675">
        <v>89</v>
      </c>
    </row>
    <row r="294" spans="1:12" x14ac:dyDescent="0.35">
      <c r="A294" s="1658"/>
      <c r="B294" s="671">
        <v>288</v>
      </c>
      <c r="C294" s="671" t="s">
        <v>16</v>
      </c>
      <c r="D294" s="672" t="s">
        <v>388</v>
      </c>
      <c r="E294" s="671">
        <v>69.599999999999994</v>
      </c>
      <c r="F294" s="673">
        <f t="shared" si="10"/>
        <v>749.16743999999994</v>
      </c>
      <c r="G294" s="671" t="s">
        <v>343</v>
      </c>
      <c r="H294" s="677">
        <v>2</v>
      </c>
      <c r="I294" s="672" t="str">
        <f>IF('Plot By Plot SoA'!P319=0,"-",'Plot By Plot SoA'!P319)</f>
        <v>-</v>
      </c>
      <c r="J294" s="671" t="s">
        <v>358</v>
      </c>
      <c r="K294" s="672" t="str">
        <f>IF('Plot By Plot SoA'!J319=0,"-",'Plot By Plot SoA'!J319)</f>
        <v>Balcony</v>
      </c>
      <c r="L294" s="675">
        <v>89</v>
      </c>
    </row>
    <row r="295" spans="1:12" x14ac:dyDescent="0.35">
      <c r="A295" s="1658"/>
      <c r="B295" s="671">
        <v>289</v>
      </c>
      <c r="C295" s="671" t="s">
        <v>17</v>
      </c>
      <c r="D295" s="672" t="s">
        <v>371</v>
      </c>
      <c r="E295" s="671">
        <v>59.4</v>
      </c>
      <c r="F295" s="673">
        <f t="shared" si="10"/>
        <v>639.37565999999993</v>
      </c>
      <c r="G295" s="671" t="s">
        <v>347</v>
      </c>
      <c r="H295" s="677">
        <v>1</v>
      </c>
      <c r="I295" s="672" t="str">
        <f>IF('Plot By Plot SoA'!P320=0,"-",'Plot By Plot SoA'!P320)</f>
        <v>-</v>
      </c>
      <c r="J295" s="671" t="s">
        <v>358</v>
      </c>
      <c r="K295" s="672" t="str">
        <f>IF('Plot By Plot SoA'!J320=0,"-",'Plot By Plot SoA'!J320)</f>
        <v>Community Amenity</v>
      </c>
      <c r="L295" s="675" t="s">
        <v>77</v>
      </c>
    </row>
    <row r="296" spans="1:12" x14ac:dyDescent="0.35">
      <c r="A296" s="1658"/>
      <c r="B296" s="671">
        <v>290</v>
      </c>
      <c r="C296" s="671" t="s">
        <v>16</v>
      </c>
      <c r="D296" s="672" t="s">
        <v>377</v>
      </c>
      <c r="E296" s="671">
        <v>66.5</v>
      </c>
      <c r="F296" s="673">
        <f t="shared" si="10"/>
        <v>715.79935</v>
      </c>
      <c r="G296" s="671" t="s">
        <v>343</v>
      </c>
      <c r="H296" s="677">
        <v>2</v>
      </c>
      <c r="I296" s="672" t="str">
        <f>IF('Plot By Plot SoA'!P321=0,"-",'Plot By Plot SoA'!P321)</f>
        <v>-</v>
      </c>
      <c r="J296" s="671" t="s">
        <v>358</v>
      </c>
      <c r="K296" s="672" t="str">
        <f>IF('Plot By Plot SoA'!J321=0,"-",'Plot By Plot SoA'!J321)</f>
        <v>Balcony</v>
      </c>
      <c r="L296" s="675">
        <v>108</v>
      </c>
    </row>
    <row r="297" spans="1:12" x14ac:dyDescent="0.35">
      <c r="A297" s="1658"/>
      <c r="B297" s="671">
        <v>291</v>
      </c>
      <c r="C297" s="671" t="s">
        <v>16</v>
      </c>
      <c r="D297" s="672" t="s">
        <v>377</v>
      </c>
      <c r="E297" s="671">
        <v>69.599999999999994</v>
      </c>
      <c r="F297" s="673">
        <f t="shared" si="10"/>
        <v>749.16743999999994</v>
      </c>
      <c r="G297" s="671" t="s">
        <v>343</v>
      </c>
      <c r="H297" s="677">
        <v>2</v>
      </c>
      <c r="I297" s="672" t="str">
        <f>IF('Plot By Plot SoA'!P322=0,"-",'Plot By Plot SoA'!P322)</f>
        <v>-</v>
      </c>
      <c r="J297" s="671" t="s">
        <v>358</v>
      </c>
      <c r="K297" s="672" t="str">
        <f>IF('Plot By Plot SoA'!J322=0,"-",'Plot By Plot SoA'!J322)</f>
        <v>Balcony</v>
      </c>
      <c r="L297" s="675">
        <v>108</v>
      </c>
    </row>
    <row r="298" spans="1:12" x14ac:dyDescent="0.35">
      <c r="A298" s="1658"/>
      <c r="B298" s="671">
        <v>292</v>
      </c>
      <c r="C298" s="671" t="s">
        <v>17</v>
      </c>
      <c r="D298" s="672" t="s">
        <v>372</v>
      </c>
      <c r="E298" s="671">
        <v>59.4</v>
      </c>
      <c r="F298" s="673">
        <f t="shared" si="10"/>
        <v>639.37565999999993</v>
      </c>
      <c r="G298" s="671" t="s">
        <v>347</v>
      </c>
      <c r="H298" s="677">
        <v>1</v>
      </c>
      <c r="I298" s="672" t="str">
        <f>IF('Plot By Plot SoA'!P323=0,"-",'Plot By Plot SoA'!P323)</f>
        <v>-</v>
      </c>
      <c r="J298" s="671" t="s">
        <v>358</v>
      </c>
      <c r="K298" s="672" t="str">
        <f>IF('Plot By Plot SoA'!J323=0,"-",'Plot By Plot SoA'!J323)</f>
        <v>Community Amenity</v>
      </c>
      <c r="L298" s="675" t="s">
        <v>77</v>
      </c>
    </row>
    <row r="299" spans="1:12" x14ac:dyDescent="0.35">
      <c r="A299" s="1658"/>
      <c r="B299" s="671">
        <v>293</v>
      </c>
      <c r="C299" s="671" t="s">
        <v>17</v>
      </c>
      <c r="D299" s="672" t="s">
        <v>374</v>
      </c>
      <c r="E299" s="671">
        <v>59.4</v>
      </c>
      <c r="F299" s="673">
        <f t="shared" si="10"/>
        <v>639.37565999999993</v>
      </c>
      <c r="G299" s="671" t="s">
        <v>347</v>
      </c>
      <c r="H299" s="677">
        <v>1</v>
      </c>
      <c r="I299" s="672" t="str">
        <f>IF('Plot By Plot SoA'!P324=0,"-",'Plot By Plot SoA'!P324)</f>
        <v>-</v>
      </c>
      <c r="J299" s="671" t="s">
        <v>358</v>
      </c>
      <c r="K299" s="672" t="str">
        <f>IF('Plot By Plot SoA'!J324=0,"-",'Plot By Plot SoA'!J324)</f>
        <v>Community Amenity</v>
      </c>
      <c r="L299" s="675" t="s">
        <v>77</v>
      </c>
    </row>
    <row r="300" spans="1:12" x14ac:dyDescent="0.35">
      <c r="A300" s="1658"/>
      <c r="B300" s="671">
        <v>294</v>
      </c>
      <c r="C300" s="671" t="s">
        <v>16</v>
      </c>
      <c r="D300" s="672" t="s">
        <v>374</v>
      </c>
      <c r="E300" s="671">
        <v>66.5</v>
      </c>
      <c r="F300" s="673">
        <f t="shared" si="10"/>
        <v>715.79935</v>
      </c>
      <c r="G300" s="671" t="s">
        <v>343</v>
      </c>
      <c r="H300" s="677">
        <v>2</v>
      </c>
      <c r="I300" s="672" t="str">
        <f>IF('Plot By Plot SoA'!P325=0,"-",'Plot By Plot SoA'!P325)</f>
        <v>-</v>
      </c>
      <c r="J300" s="671" t="s">
        <v>358</v>
      </c>
      <c r="K300" s="672" t="str">
        <f>IF('Plot By Plot SoA'!J325=0,"-",'Plot By Plot SoA'!J325)</f>
        <v>Balcony</v>
      </c>
      <c r="L300" s="675">
        <v>89</v>
      </c>
    </row>
    <row r="301" spans="1:12" x14ac:dyDescent="0.35">
      <c r="A301" s="1658"/>
      <c r="B301" s="671">
        <v>295</v>
      </c>
      <c r="C301" s="671" t="s">
        <v>16</v>
      </c>
      <c r="D301" s="672" t="s">
        <v>374</v>
      </c>
      <c r="E301" s="671">
        <v>69.599999999999994</v>
      </c>
      <c r="F301" s="673">
        <f t="shared" si="10"/>
        <v>749.16743999999994</v>
      </c>
      <c r="G301" s="671" t="s">
        <v>343</v>
      </c>
      <c r="H301" s="678">
        <v>2</v>
      </c>
      <c r="I301" s="672" t="str">
        <f>IF('Plot By Plot SoA'!P326=0,"-",'Plot By Plot SoA'!P326)</f>
        <v>-</v>
      </c>
      <c r="J301" s="671" t="s">
        <v>358</v>
      </c>
      <c r="K301" s="672" t="str">
        <f>IF('Plot By Plot SoA'!J326=0,"-",'Plot By Plot SoA'!J326)</f>
        <v>Balcony</v>
      </c>
      <c r="L301" s="675">
        <v>89</v>
      </c>
    </row>
    <row r="302" spans="1:12" x14ac:dyDescent="0.35">
      <c r="A302" s="1658"/>
      <c r="B302" s="671">
        <v>296</v>
      </c>
      <c r="C302" s="671" t="s">
        <v>17</v>
      </c>
      <c r="D302" s="672" t="s">
        <v>375</v>
      </c>
      <c r="E302" s="671">
        <v>59.4</v>
      </c>
      <c r="F302" s="673">
        <f t="shared" si="10"/>
        <v>639.37565999999993</v>
      </c>
      <c r="G302" s="671" t="s">
        <v>347</v>
      </c>
      <c r="H302" s="677">
        <v>1</v>
      </c>
      <c r="I302" s="672" t="str">
        <f>IF('Plot By Plot SoA'!P327=0,"-",'Plot By Plot SoA'!P327)</f>
        <v>-</v>
      </c>
      <c r="J302" s="671" t="s">
        <v>358</v>
      </c>
      <c r="K302" s="672" t="str">
        <f>IF('Plot By Plot SoA'!J327=0,"-",'Plot By Plot SoA'!J327)</f>
        <v>Community Amenity</v>
      </c>
      <c r="L302" s="675" t="s">
        <v>77</v>
      </c>
    </row>
    <row r="303" spans="1:12" x14ac:dyDescent="0.35">
      <c r="A303" s="1659"/>
      <c r="B303" s="671">
        <v>297</v>
      </c>
      <c r="C303" s="671" t="s">
        <v>342</v>
      </c>
      <c r="D303" s="672" t="s">
        <v>387</v>
      </c>
      <c r="E303" s="671">
        <v>59.4</v>
      </c>
      <c r="F303" s="673">
        <f t="shared" si="10"/>
        <v>639.37565999999993</v>
      </c>
      <c r="G303" s="671" t="s">
        <v>347</v>
      </c>
      <c r="H303" s="676">
        <v>1</v>
      </c>
      <c r="I303" s="672" t="str">
        <f>IF('Plot By Plot SoA'!P328=0,"-",'Plot By Plot SoA'!P328)</f>
        <v>-</v>
      </c>
      <c r="J303" s="671" t="s">
        <v>358</v>
      </c>
      <c r="K303" s="672" t="str">
        <f>IF('Plot By Plot SoA'!J328=0,"-",'Plot By Plot SoA'!J328)</f>
        <v>Community Amenity</v>
      </c>
      <c r="L303" s="675" t="s">
        <v>77</v>
      </c>
    </row>
    <row r="304" spans="1:12" x14ac:dyDescent="0.35">
      <c r="A304" s="1660" t="s">
        <v>340</v>
      </c>
      <c r="B304" s="611">
        <v>298</v>
      </c>
      <c r="C304" s="611" t="s">
        <v>342</v>
      </c>
      <c r="D304" s="617" t="s">
        <v>370</v>
      </c>
      <c r="E304" s="613">
        <v>40.1</v>
      </c>
      <c r="F304" s="614">
        <f t="shared" si="10"/>
        <v>431.63238999999999</v>
      </c>
      <c r="G304" s="611" t="s">
        <v>347</v>
      </c>
      <c r="H304" s="618">
        <v>1</v>
      </c>
      <c r="I304" s="617" t="str">
        <f>IF('Plot By Plot SoA'!P329=0,"-",'Plot By Plot SoA'!P329)</f>
        <v>-</v>
      </c>
      <c r="J304" s="611" t="s">
        <v>358</v>
      </c>
      <c r="K304" s="617" t="str">
        <f>IF('Plot By Plot SoA'!J329=0,"-",'Plot By Plot SoA'!J329)</f>
        <v>Private Front Garden</v>
      </c>
      <c r="L304" s="638">
        <v>119</v>
      </c>
    </row>
    <row r="305" spans="1:12" x14ac:dyDescent="0.35">
      <c r="A305" s="1265"/>
      <c r="B305" s="611">
        <v>299</v>
      </c>
      <c r="C305" s="611" t="s">
        <v>15</v>
      </c>
      <c r="D305" s="617" t="s">
        <v>361</v>
      </c>
      <c r="E305" s="615">
        <v>103.4</v>
      </c>
      <c r="F305" s="616">
        <f t="shared" si="10"/>
        <v>1112.9872600000001</v>
      </c>
      <c r="G305" s="611" t="s">
        <v>348</v>
      </c>
      <c r="H305" s="619">
        <v>3</v>
      </c>
      <c r="I305" s="617" t="str">
        <f>IF('Plot By Plot SoA'!P330=0,"-",'Plot By Plot SoA'!P330)</f>
        <v>-</v>
      </c>
      <c r="J305" s="611" t="s">
        <v>357</v>
      </c>
      <c r="K305" s="617" t="str">
        <f>IF('Plot By Plot SoA'!J330=0,"-",'Plot By Plot SoA'!J330)</f>
        <v>Roof Terrace</v>
      </c>
      <c r="L305" s="639">
        <v>468</v>
      </c>
    </row>
    <row r="306" spans="1:12" x14ac:dyDescent="0.35">
      <c r="A306" s="1265"/>
      <c r="B306" s="611">
        <v>300</v>
      </c>
      <c r="C306" s="611" t="s">
        <v>15</v>
      </c>
      <c r="D306" s="617" t="s">
        <v>362</v>
      </c>
      <c r="E306" s="615">
        <v>103.4</v>
      </c>
      <c r="F306" s="616">
        <f t="shared" si="10"/>
        <v>1112.9872600000001</v>
      </c>
      <c r="G306" s="611" t="s">
        <v>348</v>
      </c>
      <c r="H306" s="619">
        <v>3</v>
      </c>
      <c r="I306" s="617" t="str">
        <f>IF('Plot By Plot SoA'!P332=0,"-",'Plot By Plot SoA'!P332)</f>
        <v>-</v>
      </c>
      <c r="J306" s="611" t="s">
        <v>357</v>
      </c>
      <c r="K306" s="617" t="str">
        <f>IF('Plot By Plot SoA'!J332=0,"-",'Plot By Plot SoA'!J332)</f>
        <v>Roof Terrace</v>
      </c>
      <c r="L306" s="638">
        <v>468</v>
      </c>
    </row>
    <row r="307" spans="1:12" x14ac:dyDescent="0.35">
      <c r="A307" s="1265"/>
      <c r="B307" s="611">
        <v>301</v>
      </c>
      <c r="C307" s="611" t="s">
        <v>15</v>
      </c>
      <c r="D307" s="617" t="s">
        <v>361</v>
      </c>
      <c r="E307" s="615">
        <v>103.4</v>
      </c>
      <c r="F307" s="616">
        <f t="shared" si="10"/>
        <v>1112.9872600000001</v>
      </c>
      <c r="G307" s="611" t="s">
        <v>348</v>
      </c>
      <c r="H307" s="619">
        <v>3</v>
      </c>
      <c r="I307" s="617" t="str">
        <f>IF('Plot By Plot SoA'!P334=0,"-",'Plot By Plot SoA'!P334)</f>
        <v>-</v>
      </c>
      <c r="J307" s="611" t="s">
        <v>357</v>
      </c>
      <c r="K307" s="617" t="str">
        <f>IF('Plot By Plot SoA'!J334=0,"-",'Plot By Plot SoA'!J334)</f>
        <v>Roof Terrace</v>
      </c>
      <c r="L307" s="638">
        <v>468</v>
      </c>
    </row>
    <row r="308" spans="1:12" x14ac:dyDescent="0.35">
      <c r="A308" s="1265"/>
      <c r="B308" s="611">
        <v>302</v>
      </c>
      <c r="C308" s="611" t="s">
        <v>17</v>
      </c>
      <c r="D308" s="617" t="s">
        <v>371</v>
      </c>
      <c r="E308" s="613">
        <v>84.7</v>
      </c>
      <c r="F308" s="614">
        <f t="shared" si="10"/>
        <v>911.70232999999996</v>
      </c>
      <c r="G308" s="611" t="s">
        <v>348</v>
      </c>
      <c r="H308" s="618">
        <v>1</v>
      </c>
      <c r="I308" s="617" t="str">
        <f>IF('Plot By Plot SoA'!P336=0,"-",'Plot By Plot SoA'!P336)</f>
        <v>-</v>
      </c>
      <c r="J308" s="611" t="s">
        <v>358</v>
      </c>
      <c r="K308" s="617" t="str">
        <f>IF('Plot By Plot SoA'!J336=0,"-",'Plot By Plot SoA'!J336)</f>
        <v>Balcony</v>
      </c>
      <c r="L308" s="638">
        <v>138</v>
      </c>
    </row>
    <row r="309" spans="1:12" x14ac:dyDescent="0.35">
      <c r="A309" s="1265"/>
      <c r="B309" s="611">
        <v>303</v>
      </c>
      <c r="C309" s="611" t="s">
        <v>17</v>
      </c>
      <c r="D309" s="617" t="s">
        <v>372</v>
      </c>
      <c r="E309" s="613">
        <v>84.7</v>
      </c>
      <c r="F309" s="614">
        <f t="shared" si="10"/>
        <v>911.70232999999996</v>
      </c>
      <c r="G309" s="611" t="s">
        <v>348</v>
      </c>
      <c r="H309" s="618">
        <v>1</v>
      </c>
      <c r="I309" s="617" t="str">
        <f>IF('Plot By Plot SoA'!P337=0,"-",'Plot By Plot SoA'!P337)</f>
        <v>-</v>
      </c>
      <c r="J309" s="611" t="s">
        <v>358</v>
      </c>
      <c r="K309" s="617" t="str">
        <f>IF('Plot By Plot SoA'!J337=0,"-",'Plot By Plot SoA'!J337)</f>
        <v>Shared Roof Terrace</v>
      </c>
      <c r="L309" s="638" t="s">
        <v>77</v>
      </c>
    </row>
    <row r="310" spans="1:12" x14ac:dyDescent="0.35">
      <c r="A310" s="1265"/>
      <c r="B310" s="611">
        <v>304</v>
      </c>
      <c r="C310" s="611" t="s">
        <v>17</v>
      </c>
      <c r="D310" s="617" t="s">
        <v>372</v>
      </c>
      <c r="E310" s="613">
        <v>54.1</v>
      </c>
      <c r="F310" s="614">
        <f t="shared" si="10"/>
        <v>582.32699000000002</v>
      </c>
      <c r="G310" s="611" t="s">
        <v>347</v>
      </c>
      <c r="H310" s="618">
        <v>1</v>
      </c>
      <c r="I310" s="617" t="str">
        <f>IF('Plot By Plot SoA'!P338=0,"-",'Plot By Plot SoA'!P338)</f>
        <v>-</v>
      </c>
      <c r="J310" s="611" t="s">
        <v>358</v>
      </c>
      <c r="K310" s="617" t="str">
        <f>IF('Plot By Plot SoA'!J338=0,"-",'Plot By Plot SoA'!J338)</f>
        <v>Balcony</v>
      </c>
      <c r="L310" s="638">
        <v>86</v>
      </c>
    </row>
    <row r="311" spans="1:12" x14ac:dyDescent="0.35">
      <c r="A311" s="1265"/>
      <c r="B311" s="611">
        <v>305</v>
      </c>
      <c r="C311" s="611" t="s">
        <v>17</v>
      </c>
      <c r="D311" s="617" t="s">
        <v>374</v>
      </c>
      <c r="E311" s="613">
        <v>54.1</v>
      </c>
      <c r="F311" s="614">
        <f t="shared" si="10"/>
        <v>582.32699000000002</v>
      </c>
      <c r="G311" s="611" t="s">
        <v>347</v>
      </c>
      <c r="H311" s="618">
        <v>1</v>
      </c>
      <c r="I311" s="617" t="str">
        <f>IF('Plot By Plot SoA'!P339=0,"-",'Plot By Plot SoA'!P339)</f>
        <v>-</v>
      </c>
      <c r="J311" s="611" t="s">
        <v>358</v>
      </c>
      <c r="K311" s="617" t="str">
        <f>IF('Plot By Plot SoA'!J339=0,"-",'Plot By Plot SoA'!J339)</f>
        <v>Roof Terrace</v>
      </c>
      <c r="L311" s="638">
        <v>143</v>
      </c>
    </row>
    <row r="312" spans="1:12" x14ac:dyDescent="0.35">
      <c r="A312" s="1265"/>
      <c r="B312" s="611">
        <v>306</v>
      </c>
      <c r="C312" s="611" t="s">
        <v>16</v>
      </c>
      <c r="D312" s="617" t="s">
        <v>389</v>
      </c>
      <c r="E312" s="613">
        <v>65.5</v>
      </c>
      <c r="F312" s="614">
        <f>SUM(E312*10.7639)</f>
        <v>705.03544999999997</v>
      </c>
      <c r="G312" s="611" t="s">
        <v>347</v>
      </c>
      <c r="H312" s="618">
        <v>1</v>
      </c>
      <c r="I312" s="617" t="str">
        <f>IF('Plot By Plot SoA'!P340=0,"-",'Plot By Plot SoA'!P340)</f>
        <v>-</v>
      </c>
      <c r="J312" s="611" t="s">
        <v>358</v>
      </c>
      <c r="K312" s="617" t="str">
        <f>IF('Plot By Plot SoA'!J340=0,"-",'Plot By Plot SoA'!J340)</f>
        <v>Shared Roof Terrace</v>
      </c>
      <c r="L312" s="638" t="s">
        <v>77</v>
      </c>
    </row>
    <row r="313" spans="1:12" x14ac:dyDescent="0.35">
      <c r="A313" s="1265"/>
      <c r="B313" s="611">
        <v>307</v>
      </c>
      <c r="C313" s="611" t="s">
        <v>51</v>
      </c>
      <c r="D313" s="617" t="s">
        <v>389</v>
      </c>
      <c r="E313" s="613">
        <v>89.5</v>
      </c>
      <c r="F313" s="614">
        <f t="shared" ref="F313:F322" si="11">SUM(E313*10.7639)</f>
        <v>963.36905000000002</v>
      </c>
      <c r="G313" s="611" t="s">
        <v>352</v>
      </c>
      <c r="H313" s="620">
        <v>2</v>
      </c>
      <c r="I313" s="617" t="str">
        <f>IF('Plot By Plot SoA'!P341=0,"-",'Plot By Plot SoA'!P341)</f>
        <v>-</v>
      </c>
      <c r="J313" s="611" t="s">
        <v>358</v>
      </c>
      <c r="K313" s="617" t="str">
        <f>IF('Plot By Plot SoA'!J341=0,"-",'Plot By Plot SoA'!J341)</f>
        <v>Private Front Garden</v>
      </c>
      <c r="L313" s="637">
        <v>196</v>
      </c>
    </row>
    <row r="314" spans="1:12" x14ac:dyDescent="0.35">
      <c r="A314" s="1265"/>
      <c r="B314" s="611">
        <v>308</v>
      </c>
      <c r="C314" s="611" t="s">
        <v>15</v>
      </c>
      <c r="D314" s="617" t="s">
        <v>361</v>
      </c>
      <c r="E314" s="615">
        <v>103.4</v>
      </c>
      <c r="F314" s="616">
        <f t="shared" si="11"/>
        <v>1112.9872600000001</v>
      </c>
      <c r="G314" s="611" t="s">
        <v>348</v>
      </c>
      <c r="H314" s="619">
        <v>3</v>
      </c>
      <c r="I314" s="617" t="str">
        <f>IF('Plot By Plot SoA'!P342=0,"-",'Plot By Plot SoA'!P342)</f>
        <v>-</v>
      </c>
      <c r="J314" s="611" t="s">
        <v>357</v>
      </c>
      <c r="K314" s="617" t="str">
        <f>IF('Plot By Plot SoA'!J342=0,"-",'Plot By Plot SoA'!J342)</f>
        <v>Roof Terrace</v>
      </c>
      <c r="L314" s="637">
        <v>324</v>
      </c>
    </row>
    <row r="315" spans="1:12" x14ac:dyDescent="0.35">
      <c r="A315" s="1265"/>
      <c r="B315" s="611">
        <v>309</v>
      </c>
      <c r="C315" s="611" t="s">
        <v>15</v>
      </c>
      <c r="D315" s="617" t="s">
        <v>362</v>
      </c>
      <c r="E315" s="615">
        <v>103.4</v>
      </c>
      <c r="F315" s="616">
        <f t="shared" si="11"/>
        <v>1112.9872600000001</v>
      </c>
      <c r="G315" s="611" t="s">
        <v>348</v>
      </c>
      <c r="H315" s="619">
        <v>3</v>
      </c>
      <c r="I315" s="617" t="str">
        <f>IF('Plot By Plot SoA'!P344=0,"-",'Plot By Plot SoA'!P344)</f>
        <v>-</v>
      </c>
      <c r="J315" s="611" t="s">
        <v>357</v>
      </c>
      <c r="K315" s="617" t="str">
        <f>IF('Plot By Plot SoA'!J344=0,"-",'Plot By Plot SoA'!J344)</f>
        <v>Roof Terrace</v>
      </c>
      <c r="L315" s="637">
        <v>324</v>
      </c>
    </row>
    <row r="316" spans="1:12" x14ac:dyDescent="0.35">
      <c r="A316" s="1265"/>
      <c r="B316" s="611">
        <v>310</v>
      </c>
      <c r="C316" s="611" t="s">
        <v>15</v>
      </c>
      <c r="D316" s="617" t="s">
        <v>361</v>
      </c>
      <c r="E316" s="615">
        <v>103.4</v>
      </c>
      <c r="F316" s="616">
        <f t="shared" si="11"/>
        <v>1112.9872600000001</v>
      </c>
      <c r="G316" s="611" t="s">
        <v>348</v>
      </c>
      <c r="H316" s="619">
        <v>3</v>
      </c>
      <c r="I316" s="617" t="str">
        <f>IF('Plot By Plot SoA'!P346=0,"-",'Plot By Plot SoA'!P346)</f>
        <v>-</v>
      </c>
      <c r="J316" s="611" t="s">
        <v>357</v>
      </c>
      <c r="K316" s="617" t="str">
        <f>IF('Plot By Plot SoA'!J346=0,"-",'Plot By Plot SoA'!J346)</f>
        <v>Roof Terrace</v>
      </c>
      <c r="L316" s="637">
        <v>324</v>
      </c>
    </row>
    <row r="317" spans="1:12" x14ac:dyDescent="0.35">
      <c r="A317" s="1265"/>
      <c r="B317" s="611">
        <v>311</v>
      </c>
      <c r="C317" s="611" t="s">
        <v>342</v>
      </c>
      <c r="D317" s="617" t="s">
        <v>370</v>
      </c>
      <c r="E317" s="613">
        <v>40.1</v>
      </c>
      <c r="F317" s="614">
        <f t="shared" si="11"/>
        <v>431.63238999999999</v>
      </c>
      <c r="G317" s="611" t="s">
        <v>347</v>
      </c>
      <c r="H317" s="618">
        <v>1</v>
      </c>
      <c r="I317" s="617" t="str">
        <f>IF('Plot By Plot SoA'!P348=0,"-",'Plot By Plot SoA'!P348)</f>
        <v>-</v>
      </c>
      <c r="J317" s="611" t="s">
        <v>358</v>
      </c>
      <c r="K317" s="617" t="str">
        <f>IF('Plot By Plot SoA'!J348=0,"-",'Plot By Plot SoA'!J348)</f>
        <v>Frontage Amenity</v>
      </c>
      <c r="L317" s="637">
        <v>173</v>
      </c>
    </row>
    <row r="318" spans="1:12" x14ac:dyDescent="0.35">
      <c r="A318" s="1265"/>
      <c r="B318" s="611">
        <v>312</v>
      </c>
      <c r="C318" s="611" t="s">
        <v>342</v>
      </c>
      <c r="D318" s="617" t="s">
        <v>390</v>
      </c>
      <c r="E318" s="613">
        <v>42</v>
      </c>
      <c r="F318" s="614">
        <f t="shared" si="11"/>
        <v>452.0838</v>
      </c>
      <c r="G318" s="611" t="s">
        <v>347</v>
      </c>
      <c r="H318" s="618">
        <v>1</v>
      </c>
      <c r="I318" s="617" t="str">
        <f>IF('Plot By Plot SoA'!P349=0,"-",'Plot By Plot SoA'!P349)</f>
        <v>-</v>
      </c>
      <c r="J318" s="611" t="s">
        <v>358</v>
      </c>
      <c r="K318" s="617" t="str">
        <f>IF('Plot By Plot SoA'!J349=0,"-",'Plot By Plot SoA'!J349)</f>
        <v>Community Amenity</v>
      </c>
      <c r="L318" s="637" t="s">
        <v>77</v>
      </c>
    </row>
    <row r="319" spans="1:12" x14ac:dyDescent="0.35">
      <c r="A319" s="1265"/>
      <c r="B319" s="611">
        <v>313</v>
      </c>
      <c r="C319" s="611" t="s">
        <v>342</v>
      </c>
      <c r="D319" s="617" t="s">
        <v>390</v>
      </c>
      <c r="E319" s="613">
        <v>42</v>
      </c>
      <c r="F319" s="614">
        <f t="shared" si="11"/>
        <v>452.0838</v>
      </c>
      <c r="G319" s="611" t="s">
        <v>347</v>
      </c>
      <c r="H319" s="618">
        <v>1</v>
      </c>
      <c r="I319" s="617" t="str">
        <f>IF('Plot By Plot SoA'!P350=0,"-",'Plot By Plot SoA'!P350)</f>
        <v>-</v>
      </c>
      <c r="J319" s="611" t="s">
        <v>358</v>
      </c>
      <c r="K319" s="617" t="str">
        <f>IF('Plot By Plot SoA'!J350=0,"-",'Plot By Plot SoA'!J350)</f>
        <v>Community Amenity</v>
      </c>
      <c r="L319" s="637" t="s">
        <v>77</v>
      </c>
    </row>
    <row r="320" spans="1:12" x14ac:dyDescent="0.35">
      <c r="A320" s="1265"/>
      <c r="B320" s="611">
        <v>314</v>
      </c>
      <c r="C320" s="611" t="s">
        <v>51</v>
      </c>
      <c r="D320" s="617" t="s">
        <v>369</v>
      </c>
      <c r="E320" s="613">
        <v>80.099999999999994</v>
      </c>
      <c r="F320" s="614">
        <f t="shared" si="11"/>
        <v>862.18838999999991</v>
      </c>
      <c r="G320" s="611" t="s">
        <v>343</v>
      </c>
      <c r="H320" s="620">
        <v>2</v>
      </c>
      <c r="I320" s="617" t="str">
        <f>IF('Plot By Plot SoA'!P351=0,"-",'Plot By Plot SoA'!P351)</f>
        <v>-</v>
      </c>
      <c r="J320" s="611" t="s">
        <v>358</v>
      </c>
      <c r="K320" s="617" t="str">
        <f>IF('Plot By Plot SoA'!J351=0,"-",'Plot By Plot SoA'!J351)</f>
        <v>Balcony</v>
      </c>
      <c r="L320" s="637">
        <v>33</v>
      </c>
    </row>
    <row r="321" spans="1:12" x14ac:dyDescent="0.35">
      <c r="A321" s="1265"/>
      <c r="B321" s="611">
        <v>315</v>
      </c>
      <c r="C321" s="611" t="s">
        <v>51</v>
      </c>
      <c r="D321" s="617" t="s">
        <v>369</v>
      </c>
      <c r="E321" s="613">
        <v>80.099999999999994</v>
      </c>
      <c r="F321" s="614">
        <f t="shared" si="11"/>
        <v>862.18838999999991</v>
      </c>
      <c r="G321" s="611" t="s">
        <v>343</v>
      </c>
      <c r="H321" s="620">
        <v>2</v>
      </c>
      <c r="I321" s="617" t="str">
        <f>IF('Plot By Plot SoA'!P352=0,"-",'Plot By Plot SoA'!P352)</f>
        <v>-</v>
      </c>
      <c r="J321" s="611" t="s">
        <v>358</v>
      </c>
      <c r="K321" s="617" t="str">
        <f>IF('Plot By Plot SoA'!J352=0,"-",'Plot By Plot SoA'!J352)</f>
        <v>Balcony</v>
      </c>
      <c r="L321" s="637">
        <v>33</v>
      </c>
    </row>
    <row r="322" spans="1:12" ht="15.75" thickBot="1" x14ac:dyDescent="0.4">
      <c r="A322" s="1265"/>
      <c r="B322" s="630">
        <v>316</v>
      </c>
      <c r="C322" s="630" t="s">
        <v>342</v>
      </c>
      <c r="D322" s="631" t="s">
        <v>370</v>
      </c>
      <c r="E322" s="615">
        <v>40.1</v>
      </c>
      <c r="F322" s="616">
        <f t="shared" si="11"/>
        <v>431.63238999999999</v>
      </c>
      <c r="G322" s="630" t="s">
        <v>347</v>
      </c>
      <c r="H322" s="619">
        <v>1</v>
      </c>
      <c r="I322" s="631" t="str">
        <f>IF('Plot By Plot SoA'!P353=0,"-",'Plot By Plot SoA'!P353)</f>
        <v>-</v>
      </c>
      <c r="J322" s="630" t="s">
        <v>358</v>
      </c>
      <c r="K322" s="631" t="str">
        <f>IF('Plot By Plot SoA'!J353=0,"-",'Plot By Plot SoA'!J353)</f>
        <v>Frontage Amenity</v>
      </c>
      <c r="L322" s="640">
        <v>158</v>
      </c>
    </row>
    <row r="323" spans="1:12" ht="26.25" customHeight="1" x14ac:dyDescent="0.35">
      <c r="A323" s="1607" t="s">
        <v>109</v>
      </c>
      <c r="B323" s="1608"/>
      <c r="C323" s="1609"/>
      <c r="D323" s="1638" t="s">
        <v>405</v>
      </c>
      <c r="E323" s="1638"/>
      <c r="F323" s="1638"/>
      <c r="G323" s="1613"/>
      <c r="H323" s="1608"/>
      <c r="I323" s="1608"/>
      <c r="J323" s="1609"/>
      <c r="K323" s="1634" t="s">
        <v>391</v>
      </c>
      <c r="L323" s="1635"/>
    </row>
    <row r="324" spans="1:12" ht="26.25" customHeight="1" thickBot="1" x14ac:dyDescent="0.4">
      <c r="A324" s="1610">
        <f>COUNTA(B6:B322)</f>
        <v>317</v>
      </c>
      <c r="B324" s="1611"/>
      <c r="C324" s="1612"/>
      <c r="D324" s="1639">
        <f>SUM(F6:F322)</f>
        <v>244275.75235999946</v>
      </c>
      <c r="E324" s="1639"/>
      <c r="F324" s="1639"/>
      <c r="G324" s="1614" t="s">
        <v>408</v>
      </c>
      <c r="H324" s="1615"/>
      <c r="I324" s="1615"/>
      <c r="J324" s="1616"/>
      <c r="K324" s="1636">
        <f>SUM(L6:L322)</f>
        <v>25751</v>
      </c>
      <c r="L324" s="1637"/>
    </row>
    <row r="325" spans="1:12" ht="19.5" customHeight="1" x14ac:dyDescent="0.35">
      <c r="A325" s="1628"/>
      <c r="B325" s="1629"/>
      <c r="C325" s="1629"/>
      <c r="D325" s="1629"/>
      <c r="E325" s="1629"/>
      <c r="F325" s="1630"/>
      <c r="G325" s="632"/>
      <c r="H325" s="632"/>
      <c r="I325" s="632"/>
      <c r="J325" s="632"/>
      <c r="K325" s="633"/>
      <c r="L325" s="633"/>
    </row>
    <row r="326" spans="1:12" ht="19.5" customHeight="1" x14ac:dyDescent="0.35">
      <c r="A326" s="1617" t="s">
        <v>393</v>
      </c>
      <c r="B326" s="1618"/>
      <c r="C326" s="1618"/>
      <c r="D326" s="1618"/>
      <c r="E326" s="1618"/>
      <c r="F326" s="1619"/>
    </row>
    <row r="327" spans="1:12" x14ac:dyDescent="0.35">
      <c r="A327" s="1661" t="s">
        <v>397</v>
      </c>
      <c r="B327" s="1661"/>
      <c r="C327" s="1661"/>
      <c r="D327" s="1661"/>
      <c r="E327" s="1661"/>
      <c r="F327" s="1662"/>
      <c r="J327" s="1603" t="s">
        <v>418</v>
      </c>
      <c r="K327" s="1604"/>
      <c r="L327" s="1605"/>
    </row>
    <row r="328" spans="1:12" ht="16.5" customHeight="1" x14ac:dyDescent="0.35">
      <c r="A328" s="1663"/>
      <c r="B328" s="1648"/>
      <c r="C328" s="1648"/>
      <c r="D328" s="1649"/>
      <c r="E328" s="641" t="s">
        <v>243</v>
      </c>
      <c r="F328" s="642" t="s">
        <v>242</v>
      </c>
      <c r="J328" s="808"/>
      <c r="K328" s="807" t="s">
        <v>243</v>
      </c>
      <c r="L328" s="642" t="s">
        <v>242</v>
      </c>
    </row>
    <row r="329" spans="1:12" ht="22.5" customHeight="1" x14ac:dyDescent="0.35">
      <c r="A329" s="1666" t="s">
        <v>409</v>
      </c>
      <c r="B329" s="1667"/>
      <c r="C329" s="1650" t="s">
        <v>9</v>
      </c>
      <c r="D329" s="1651"/>
      <c r="E329" s="752">
        <v>69.25</v>
      </c>
      <c r="F329" s="635">
        <f t="shared" ref="F329:F333" si="12">SUM(E329*10.7639)</f>
        <v>745.40007500000002</v>
      </c>
      <c r="J329" s="809" t="s">
        <v>422</v>
      </c>
      <c r="K329" s="770">
        <v>171.7</v>
      </c>
      <c r="L329" s="768">
        <f>SUM(K329*10.7639)</f>
        <v>1848.1616299999998</v>
      </c>
    </row>
    <row r="330" spans="1:12" ht="20.25" customHeight="1" x14ac:dyDescent="0.35">
      <c r="A330" s="1668"/>
      <c r="B330" s="1669"/>
      <c r="C330" s="1641" t="s">
        <v>10</v>
      </c>
      <c r="D330" s="1641"/>
      <c r="E330" s="612">
        <v>71.569999999999993</v>
      </c>
      <c r="F330" s="635">
        <f t="shared" si="12"/>
        <v>770.37232299999994</v>
      </c>
      <c r="J330" s="809" t="s">
        <v>32</v>
      </c>
      <c r="K330" s="771">
        <v>254.5</v>
      </c>
      <c r="L330" s="766">
        <f t="shared" ref="L330:L333" si="13">SUM(K330*10.7639)</f>
        <v>2739.41255</v>
      </c>
    </row>
    <row r="331" spans="1:12" ht="20.25" customHeight="1" x14ac:dyDescent="0.35">
      <c r="A331" s="1668"/>
      <c r="B331" s="1669"/>
      <c r="C331" s="1641" t="s">
        <v>11</v>
      </c>
      <c r="D331" s="1641"/>
      <c r="E331" s="612">
        <v>75</v>
      </c>
      <c r="F331" s="635">
        <f t="shared" si="12"/>
        <v>807.29250000000002</v>
      </c>
      <c r="J331" s="809" t="s">
        <v>33</v>
      </c>
      <c r="K331" s="771">
        <v>136.60000000000002</v>
      </c>
      <c r="L331" s="766">
        <f t="shared" si="13"/>
        <v>1470.3487400000001</v>
      </c>
    </row>
    <row r="332" spans="1:12" ht="16.5" customHeight="1" x14ac:dyDescent="0.35">
      <c r="A332" s="1668"/>
      <c r="B332" s="1669"/>
      <c r="C332" s="1641" t="s">
        <v>12</v>
      </c>
      <c r="D332" s="1641"/>
      <c r="E332" s="612">
        <v>47</v>
      </c>
      <c r="F332" s="635">
        <f t="shared" si="12"/>
        <v>505.9033</v>
      </c>
      <c r="J332" s="809" t="s">
        <v>86</v>
      </c>
      <c r="K332" s="771">
        <v>285.60000000000002</v>
      </c>
      <c r="L332" s="766">
        <f t="shared" si="13"/>
        <v>3074.16984</v>
      </c>
    </row>
    <row r="333" spans="1:12" ht="30" x14ac:dyDescent="0.35">
      <c r="A333" s="1668"/>
      <c r="B333" s="1669"/>
      <c r="C333" s="1641" t="s">
        <v>13</v>
      </c>
      <c r="D333" s="1641"/>
      <c r="E333" s="612">
        <v>47</v>
      </c>
      <c r="F333" s="635">
        <f t="shared" si="12"/>
        <v>505.9033</v>
      </c>
      <c r="J333" s="810" t="s">
        <v>34</v>
      </c>
      <c r="K333" s="771">
        <v>2105.8500000000004</v>
      </c>
      <c r="L333" s="766">
        <f t="shared" si="13"/>
        <v>22667.158815000003</v>
      </c>
    </row>
    <row r="334" spans="1:12" ht="16.5" customHeight="1" x14ac:dyDescent="0.35">
      <c r="A334" s="1335"/>
      <c r="B334" s="1335"/>
      <c r="C334" s="1335"/>
      <c r="D334" s="1335"/>
      <c r="E334" s="1335"/>
      <c r="F334" s="1335"/>
      <c r="G334" s="636"/>
      <c r="J334" s="811"/>
      <c r="K334" s="772">
        <f>SUM(K329:K333)</f>
        <v>2954.2500000000005</v>
      </c>
      <c r="L334" s="773">
        <f>SUM(L329:L333)</f>
        <v>31799.251575000002</v>
      </c>
    </row>
    <row r="335" spans="1:12" ht="16.5" customHeight="1" thickBot="1" x14ac:dyDescent="0.4">
      <c r="A335" s="1620" t="s">
        <v>411</v>
      </c>
      <c r="B335" s="1620"/>
      <c r="C335" s="1620"/>
      <c r="D335" s="1620"/>
      <c r="E335" s="1620"/>
      <c r="F335" s="651">
        <f>SUM(F329:F333)</f>
        <v>3334.871498</v>
      </c>
    </row>
    <row r="336" spans="1:12" ht="16.5" customHeight="1" thickBot="1" x14ac:dyDescent="0.4">
      <c r="A336" s="762"/>
      <c r="B336" s="762"/>
      <c r="C336" s="762"/>
      <c r="D336" s="762"/>
      <c r="E336" s="762"/>
      <c r="F336" s="763"/>
      <c r="J336" s="1458" t="s">
        <v>420</v>
      </c>
      <c r="K336" s="1459"/>
      <c r="L336" s="775">
        <f>SUM(L334+D324)</f>
        <v>276075.00393499946</v>
      </c>
    </row>
    <row r="337" spans="1:12" ht="66" customHeight="1" x14ac:dyDescent="0.35">
      <c r="A337" s="1670" t="s">
        <v>410</v>
      </c>
      <c r="B337" s="1671"/>
      <c r="C337" s="1664" t="s">
        <v>14</v>
      </c>
      <c r="D337" s="1665"/>
      <c r="E337" s="752">
        <v>169.5</v>
      </c>
      <c r="F337" s="761">
        <f>SUM(E337*10.7639)</f>
        <v>1824.4810499999999</v>
      </c>
    </row>
    <row r="338" spans="1:12" ht="16.5" customHeight="1" x14ac:dyDescent="0.35">
      <c r="A338" s="764"/>
      <c r="B338" s="755"/>
      <c r="C338" s="755"/>
      <c r="D338" s="755"/>
      <c r="E338" s="755"/>
      <c r="F338" s="756"/>
    </row>
    <row r="339" spans="1:12" ht="16.5" customHeight="1" thickBot="1" x14ac:dyDescent="0.4">
      <c r="A339" s="1643"/>
      <c r="B339" s="1643"/>
      <c r="C339" s="1643"/>
      <c r="D339" s="1643"/>
      <c r="E339" s="1643"/>
      <c r="F339" s="1644"/>
    </row>
    <row r="340" spans="1:12" ht="36.75" customHeight="1" thickBot="1" x14ac:dyDescent="0.4">
      <c r="A340" s="1621" t="s">
        <v>412</v>
      </c>
      <c r="B340" s="1622"/>
      <c r="C340" s="1622"/>
      <c r="D340" s="1622"/>
      <c r="E340" s="1622"/>
      <c r="F340" s="757">
        <f>SUM(D324+F335+F337)</f>
        <v>249435.10490799946</v>
      </c>
      <c r="J340" s="1678" t="s">
        <v>419</v>
      </c>
      <c r="K340" s="1679"/>
      <c r="L340" s="774">
        <f>SUM(L334+F340)</f>
        <v>281234.35648299946</v>
      </c>
    </row>
    <row r="341" spans="1:12" x14ac:dyDescent="0.35">
      <c r="A341" s="753"/>
      <c r="B341" s="753"/>
      <c r="C341" s="753"/>
      <c r="D341" s="753"/>
      <c r="E341" s="753"/>
      <c r="F341" s="754"/>
    </row>
    <row r="342" spans="1:12" x14ac:dyDescent="0.35">
      <c r="A342" s="753"/>
      <c r="B342" s="753"/>
      <c r="C342" s="753"/>
      <c r="D342" s="753"/>
      <c r="E342" s="753"/>
      <c r="F342" s="754"/>
    </row>
    <row r="343" spans="1:12" x14ac:dyDescent="0.35">
      <c r="A343" s="1625" t="s">
        <v>406</v>
      </c>
      <c r="B343" s="1626"/>
      <c r="C343" s="1626"/>
      <c r="D343" s="1626"/>
      <c r="E343" s="1626"/>
      <c r="F343" s="1627"/>
    </row>
    <row r="344" spans="1:12" ht="14.45" customHeight="1" x14ac:dyDescent="0.35">
      <c r="A344" s="1647"/>
      <c r="B344" s="1648"/>
      <c r="C344" s="1648"/>
      <c r="D344" s="1649"/>
      <c r="E344" s="641" t="s">
        <v>243</v>
      </c>
      <c r="F344" s="642" t="s">
        <v>242</v>
      </c>
      <c r="G344" s="636"/>
    </row>
    <row r="345" spans="1:12" ht="14.45" customHeight="1" x14ac:dyDescent="0.35">
      <c r="A345" s="1623" t="s">
        <v>407</v>
      </c>
      <c r="B345" s="1624"/>
      <c r="C345" s="1642" t="s">
        <v>209</v>
      </c>
      <c r="D345" s="1642"/>
      <c r="E345" s="23">
        <v>251.5</v>
      </c>
      <c r="F345" s="634">
        <f t="shared" ref="F345:F349" si="14">SUM(E345*10.7639)</f>
        <v>2707.1208499999998</v>
      </c>
    </row>
    <row r="346" spans="1:12" ht="14.45" customHeight="1" x14ac:dyDescent="0.35">
      <c r="A346" s="1623"/>
      <c r="B346" s="1624"/>
      <c r="C346" s="1640" t="s">
        <v>210</v>
      </c>
      <c r="D346" s="1640"/>
      <c r="E346" s="612">
        <v>488.35</v>
      </c>
      <c r="F346" s="634">
        <f t="shared" si="14"/>
        <v>5256.5505650000005</v>
      </c>
    </row>
    <row r="347" spans="1:12" ht="14.45" customHeight="1" x14ac:dyDescent="0.35">
      <c r="A347" s="1623"/>
      <c r="B347" s="1624"/>
      <c r="C347" s="1640" t="s">
        <v>211</v>
      </c>
      <c r="D347" s="1640"/>
      <c r="E347" s="612">
        <v>400</v>
      </c>
      <c r="F347" s="634">
        <f t="shared" si="14"/>
        <v>4305.5599999999995</v>
      </c>
    </row>
    <row r="348" spans="1:12" ht="14.45" customHeight="1" x14ac:dyDescent="0.35">
      <c r="A348" s="1623"/>
      <c r="B348" s="1624"/>
      <c r="C348" s="1640" t="s">
        <v>212</v>
      </c>
      <c r="D348" s="1640"/>
      <c r="E348" s="612">
        <v>445</v>
      </c>
      <c r="F348" s="634">
        <f t="shared" si="14"/>
        <v>4789.9354999999996</v>
      </c>
    </row>
    <row r="349" spans="1:12" ht="16.5" customHeight="1" x14ac:dyDescent="0.35">
      <c r="A349" s="1623"/>
      <c r="B349" s="1624"/>
      <c r="C349" s="1640" t="s">
        <v>213</v>
      </c>
      <c r="D349" s="1640"/>
      <c r="E349" s="612">
        <v>2813</v>
      </c>
      <c r="F349" s="634">
        <f t="shared" si="14"/>
        <v>30278.850699999999</v>
      </c>
    </row>
    <row r="350" spans="1:12" x14ac:dyDescent="0.35">
      <c r="A350" s="1631" t="s">
        <v>392</v>
      </c>
      <c r="B350" s="1632"/>
      <c r="C350" s="1632"/>
      <c r="D350" s="1632"/>
      <c r="E350" s="1633"/>
      <c r="F350" s="659">
        <f>SUM(F345:F349)</f>
        <v>47338.017615000004</v>
      </c>
    </row>
    <row r="351" spans="1:12" ht="36" customHeight="1" x14ac:dyDescent="0.35">
      <c r="A351" s="1335"/>
      <c r="B351" s="1335"/>
      <c r="C351" s="1335"/>
      <c r="D351" s="1335"/>
      <c r="E351" s="1335"/>
      <c r="F351" s="1335"/>
    </row>
    <row r="353" ht="33.75" customHeight="1" x14ac:dyDescent="0.35"/>
  </sheetData>
  <mergeCells count="133">
    <mergeCell ref="J340:K340"/>
    <mergeCell ref="J336:K336"/>
    <mergeCell ref="P17:U17"/>
    <mergeCell ref="P18:S18"/>
    <mergeCell ref="P19:S19"/>
    <mergeCell ref="P20:S20"/>
    <mergeCell ref="P21:S21"/>
    <mergeCell ref="A1:L1"/>
    <mergeCell ref="I4:I5"/>
    <mergeCell ref="A20:A23"/>
    <mergeCell ref="A24:A30"/>
    <mergeCell ref="K4:K5"/>
    <mergeCell ref="L4:L5"/>
    <mergeCell ref="A3:L3"/>
    <mergeCell ref="A31:A47"/>
    <mergeCell ref="A48:A91"/>
    <mergeCell ref="J4:J5"/>
    <mergeCell ref="A6:A10"/>
    <mergeCell ref="A11:A19"/>
    <mergeCell ref="A4:A5"/>
    <mergeCell ref="B4:B5"/>
    <mergeCell ref="E4:F4"/>
    <mergeCell ref="G4:G5"/>
    <mergeCell ref="H4:H5"/>
    <mergeCell ref="C4:D4"/>
    <mergeCell ref="A344:D344"/>
    <mergeCell ref="C329:D329"/>
    <mergeCell ref="C330:D330"/>
    <mergeCell ref="C331:D331"/>
    <mergeCell ref="C332:D332"/>
    <mergeCell ref="A148:A168"/>
    <mergeCell ref="A169:A221"/>
    <mergeCell ref="A222:A303"/>
    <mergeCell ref="A304:A322"/>
    <mergeCell ref="A327:F327"/>
    <mergeCell ref="A334:F334"/>
    <mergeCell ref="A328:D328"/>
    <mergeCell ref="C337:D337"/>
    <mergeCell ref="A329:B333"/>
    <mergeCell ref="A337:B337"/>
    <mergeCell ref="A92:A120"/>
    <mergeCell ref="A121:A147"/>
    <mergeCell ref="A351:F351"/>
    <mergeCell ref="A2:L2"/>
    <mergeCell ref="A323:C323"/>
    <mergeCell ref="A324:C324"/>
    <mergeCell ref="G323:J323"/>
    <mergeCell ref="G324:J324"/>
    <mergeCell ref="A326:F326"/>
    <mergeCell ref="A335:E335"/>
    <mergeCell ref="A340:E340"/>
    <mergeCell ref="A345:B349"/>
    <mergeCell ref="A343:F343"/>
    <mergeCell ref="A325:F325"/>
    <mergeCell ref="A350:E350"/>
    <mergeCell ref="K323:L323"/>
    <mergeCell ref="K324:L324"/>
    <mergeCell ref="D323:F323"/>
    <mergeCell ref="D324:F324"/>
    <mergeCell ref="C347:D347"/>
    <mergeCell ref="C348:D348"/>
    <mergeCell ref="C349:D349"/>
    <mergeCell ref="C333:D333"/>
    <mergeCell ref="C345:D345"/>
    <mergeCell ref="C346:D346"/>
    <mergeCell ref="A339:F339"/>
    <mergeCell ref="U52:W52"/>
    <mergeCell ref="J327:L327"/>
    <mergeCell ref="P5:U5"/>
    <mergeCell ref="P39:S39"/>
    <mergeCell ref="U39:Y39"/>
    <mergeCell ref="P40:Q40"/>
    <mergeCell ref="R40:S40"/>
    <mergeCell ref="U40:W40"/>
    <mergeCell ref="X40:Y40"/>
    <mergeCell ref="P23:V23"/>
    <mergeCell ref="X43:Y43"/>
    <mergeCell ref="P7:S7"/>
    <mergeCell ref="P9:S9"/>
    <mergeCell ref="X51:Y51"/>
    <mergeCell ref="P47:Q47"/>
    <mergeCell ref="R47:S47"/>
    <mergeCell ref="U47:W47"/>
    <mergeCell ref="X47:Y47"/>
    <mergeCell ref="P48:Q48"/>
    <mergeCell ref="X41:Y41"/>
    <mergeCell ref="P42:Q42"/>
    <mergeCell ref="R42:S42"/>
    <mergeCell ref="X52:Y52"/>
    <mergeCell ref="P43:Q43"/>
    <mergeCell ref="P51:Q51"/>
    <mergeCell ref="R51:S51"/>
    <mergeCell ref="U51:W51"/>
    <mergeCell ref="P45:Q45"/>
    <mergeCell ref="R45:S45"/>
    <mergeCell ref="U45:W45"/>
    <mergeCell ref="U41:W41"/>
    <mergeCell ref="P46:Q46"/>
    <mergeCell ref="R46:S46"/>
    <mergeCell ref="U46:W46"/>
    <mergeCell ref="R44:S44"/>
    <mergeCell ref="U42:W42"/>
    <mergeCell ref="U43:W43"/>
    <mergeCell ref="P41:Q41"/>
    <mergeCell ref="R41:S41"/>
    <mergeCell ref="U49:W49"/>
    <mergeCell ref="R43:S43"/>
    <mergeCell ref="P44:Q44"/>
    <mergeCell ref="R48:S48"/>
    <mergeCell ref="U48:W48"/>
    <mergeCell ref="X49:Y49"/>
    <mergeCell ref="P50:Q50"/>
    <mergeCell ref="R50:S50"/>
    <mergeCell ref="U50:W50"/>
    <mergeCell ref="X50:Y50"/>
    <mergeCell ref="U44:W44"/>
    <mergeCell ref="X44:Y44"/>
    <mergeCell ref="P2:U3"/>
    <mergeCell ref="P4:U4"/>
    <mergeCell ref="P31:U31"/>
    <mergeCell ref="X42:Y42"/>
    <mergeCell ref="P6:S6"/>
    <mergeCell ref="P8:S8"/>
    <mergeCell ref="X46:Y46"/>
    <mergeCell ref="X48:Y48"/>
    <mergeCell ref="X45:Y45"/>
    <mergeCell ref="P49:Q49"/>
    <mergeCell ref="R49:S49"/>
    <mergeCell ref="P11:U11"/>
    <mergeCell ref="P12:S12"/>
    <mergeCell ref="P13:S13"/>
    <mergeCell ref="P14:S14"/>
    <mergeCell ref="P15:S15"/>
  </mergeCells>
  <pageMargins left="0.7" right="0.7" top="0.75" bottom="0.75" header="0.3" footer="0.3"/>
  <pageSetup paperSize="8" scale="42" fitToHeight="0" orientation="portrait" horizontalDpi="360" verticalDpi="36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DB09-3DB7-4998-A9C0-096329793345}">
  <sheetPr>
    <pageSetUpPr fitToPage="1"/>
  </sheetPr>
  <dimension ref="A1:P38"/>
  <sheetViews>
    <sheetView workbookViewId="0">
      <selection activeCell="J22" sqref="J22"/>
    </sheetView>
  </sheetViews>
  <sheetFormatPr defaultColWidth="9.140625" defaultRowHeight="16.5" x14ac:dyDescent="0.3"/>
  <cols>
    <col min="1" max="1" width="30.7109375" style="2" customWidth="1"/>
    <col min="2" max="2" width="11.140625" style="2" customWidth="1"/>
    <col min="3" max="3" width="10.7109375" style="2" customWidth="1"/>
    <col min="4" max="4" width="9.140625" style="2"/>
    <col min="5" max="6" width="11.42578125" style="2" customWidth="1"/>
    <col min="7" max="7" width="11.28515625" style="2" customWidth="1"/>
    <col min="8" max="8" width="10.85546875" style="2" customWidth="1"/>
    <col min="9" max="9" width="11.140625" style="2" customWidth="1"/>
    <col min="10" max="10" width="11" style="2" customWidth="1"/>
    <col min="11" max="16384" width="9.140625" style="2"/>
  </cols>
  <sheetData>
    <row r="1" spans="1:15" ht="16.5" customHeight="1" x14ac:dyDescent="0.3">
      <c r="A1" s="1730"/>
      <c r="B1" s="1708" t="s">
        <v>92</v>
      </c>
      <c r="C1" s="1709"/>
      <c r="D1" s="1709"/>
      <c r="E1" s="1709"/>
      <c r="F1" s="1709"/>
      <c r="G1" s="1709"/>
      <c r="H1" s="1709"/>
      <c r="I1" s="1709"/>
      <c r="J1" s="1709"/>
      <c r="K1" s="1709"/>
      <c r="L1" s="1709"/>
      <c r="M1" s="1709"/>
      <c r="N1" s="1710"/>
    </row>
    <row r="2" spans="1:15" ht="17.25" customHeight="1" thickBot="1" x14ac:dyDescent="0.35">
      <c r="A2" s="1731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3"/>
    </row>
    <row r="3" spans="1:15" x14ac:dyDescent="0.3">
      <c r="A3" s="1731"/>
      <c r="B3" s="1733" t="s">
        <v>40</v>
      </c>
      <c r="C3" s="1735" t="s">
        <v>41</v>
      </c>
      <c r="D3" s="1737" t="s">
        <v>42</v>
      </c>
      <c r="E3" s="1714" t="s">
        <v>15</v>
      </c>
      <c r="F3" s="1714" t="s">
        <v>320</v>
      </c>
      <c r="G3" s="1714" t="s">
        <v>3</v>
      </c>
      <c r="H3" s="1714" t="s">
        <v>16</v>
      </c>
      <c r="I3" s="1716" t="s">
        <v>17</v>
      </c>
      <c r="J3" s="1718" t="s">
        <v>2</v>
      </c>
      <c r="K3" s="1719"/>
      <c r="L3" s="1719"/>
      <c r="M3" s="1719"/>
      <c r="N3" s="1720"/>
    </row>
    <row r="4" spans="1:15" ht="33" customHeight="1" thickBot="1" x14ac:dyDescent="0.35">
      <c r="A4" s="1732"/>
      <c r="B4" s="1734"/>
      <c r="C4" s="1736"/>
      <c r="D4" s="1738"/>
      <c r="E4" s="1715"/>
      <c r="F4" s="1715"/>
      <c r="G4" s="1715"/>
      <c r="H4" s="1715"/>
      <c r="I4" s="1717"/>
      <c r="J4" s="1721"/>
      <c r="K4" s="1722"/>
      <c r="L4" s="1722"/>
      <c r="M4" s="1722"/>
      <c r="N4" s="1723"/>
    </row>
    <row r="5" spans="1:15" ht="18" thickTop="1" thickBot="1" x14ac:dyDescent="0.35">
      <c r="A5" s="574" t="s">
        <v>43</v>
      </c>
      <c r="B5" s="575"/>
      <c r="C5" s="576"/>
      <c r="D5" s="577"/>
      <c r="E5" s="578"/>
      <c r="F5" s="578"/>
      <c r="G5" s="578"/>
      <c r="H5" s="578"/>
      <c r="I5" s="578"/>
      <c r="J5" s="579">
        <v>1</v>
      </c>
      <c r="K5" s="580">
        <v>2</v>
      </c>
      <c r="L5" s="580">
        <v>3</v>
      </c>
      <c r="M5" s="581">
        <v>4</v>
      </c>
      <c r="N5" s="582">
        <v>5</v>
      </c>
    </row>
    <row r="6" spans="1:15" ht="17.25" x14ac:dyDescent="0.35">
      <c r="A6" s="583" t="s">
        <v>19</v>
      </c>
      <c r="B6" s="34">
        <f>COUNTA('Plot By Plot SoA'!B6:B10,'Plot By Plot SoA'!B21:B32)</f>
        <v>16</v>
      </c>
      <c r="C6" s="584">
        <f>SUM('Plot By Plot SoA'!C6:C10,'Plot By Plot SoA'!C21:C32)</f>
        <v>1378.7</v>
      </c>
      <c r="D6" s="585">
        <f t="shared" ref="D6:D11" si="0">SUM(C6*10.7639)</f>
        <v>14840.18893</v>
      </c>
      <c r="E6" s="586">
        <f>COUNTA('Plot By Plot SoA'!E6:E10,'Plot By Plot SoA'!E21:E32)</f>
        <v>11</v>
      </c>
      <c r="F6" s="586">
        <f>COUNTA('Plot By Plot SoA'!F6:F10,'Plot By Plot SoA'!F21:F32)</f>
        <v>0</v>
      </c>
      <c r="G6" s="586">
        <f>COUNTA('Plot By Plot SoA'!G6:G10,'Plot By Plot SoA'!G21:G32)</f>
        <v>5</v>
      </c>
      <c r="H6" s="586">
        <f>COUNTA('Plot By Plot SoA'!H6:H10,'Plot By Plot SoA'!H21:H32)</f>
        <v>0</v>
      </c>
      <c r="I6" s="35">
        <f>COUNTA('Plot By Plot SoA'!I6:I10,'Plot By Plot SoA'!I21:I32)</f>
        <v>0</v>
      </c>
      <c r="J6" s="587">
        <f>COUNTA('Plot By Plot SoA'!K6:K10,'Plot By Plot SoA'!K21:K32)</f>
        <v>1</v>
      </c>
      <c r="K6" s="588">
        <f>COUNTA('Plot By Plot SoA'!L6:L10,'Plot By Plot SoA'!L21:L32)</f>
        <v>11</v>
      </c>
      <c r="L6" s="588">
        <f>COUNTA('Plot By Plot SoA'!M6:M10,'Plot By Plot SoA'!M21:M32)</f>
        <v>3</v>
      </c>
      <c r="M6" s="588">
        <f>COUNTA('Plot By Plot SoA'!N6:N10,'Plot By Plot SoA'!N21:N32)</f>
        <v>1</v>
      </c>
      <c r="N6" s="35">
        <f>COUNTA('Plot By Plot SoA'!O6:O10,'Plot By Plot SoA'!O21:O32)</f>
        <v>0</v>
      </c>
    </row>
    <row r="7" spans="1:15" ht="17.25" x14ac:dyDescent="0.35">
      <c r="A7" s="583" t="s">
        <v>44</v>
      </c>
      <c r="B7" s="34">
        <f>COUNTA('Plot By Plot SoA'!B11:B20)</f>
        <v>9</v>
      </c>
      <c r="C7" s="36">
        <f>SUM('Plot By Plot SoA'!C11:C20)</f>
        <v>794.09999999999991</v>
      </c>
      <c r="D7" s="37">
        <f t="shared" si="0"/>
        <v>8547.6129899999978</v>
      </c>
      <c r="E7" s="34">
        <f>COUNTA('Plot By Plot SoA'!E11:E20)</f>
        <v>6</v>
      </c>
      <c r="F7" s="34">
        <f>COUNTA('Plot By Plot SoA'!F11:F20)</f>
        <v>0</v>
      </c>
      <c r="G7" s="34">
        <f>COUNTA('Plot By Plot SoA'!G11:G20)</f>
        <v>3</v>
      </c>
      <c r="H7" s="34">
        <f>COUNTA('Plot By Plot SoA'!H11:H20)</f>
        <v>0</v>
      </c>
      <c r="I7" s="35">
        <f>COUNTA('Plot By Plot SoA'!I11:I20)</f>
        <v>0</v>
      </c>
      <c r="J7" s="38">
        <f>COUNTA('Plot By Plot SoA'!K11:K20)</f>
        <v>1</v>
      </c>
      <c r="K7" s="39">
        <f>COUNTA('Plot By Plot SoA'!L11:L20)</f>
        <v>5</v>
      </c>
      <c r="L7" s="39">
        <f>COUNTA('Plot By Plot SoA'!M11:M20)</f>
        <v>2</v>
      </c>
      <c r="M7" s="39">
        <f>COUNTA('Plot By Plot SoA'!N11:N20)</f>
        <v>1</v>
      </c>
      <c r="N7" s="35">
        <f>COUNTA('Plot By Plot SoA'!O11:O20)</f>
        <v>0</v>
      </c>
    </row>
    <row r="8" spans="1:15" ht="17.25" x14ac:dyDescent="0.35">
      <c r="A8" s="583" t="s">
        <v>20</v>
      </c>
      <c r="B8" s="34">
        <f>COUNTA('Plot By Plot SoA'!B33:B50)</f>
        <v>17</v>
      </c>
      <c r="C8" s="36">
        <f>SUM('Plot By Plot SoA'!C33:C50)</f>
        <v>1543.8</v>
      </c>
      <c r="D8" s="37">
        <f t="shared" si="0"/>
        <v>16617.308819999998</v>
      </c>
      <c r="E8" s="34">
        <f>COUNTA('Plot By Plot SoA'!E33:E50)</f>
        <v>10</v>
      </c>
      <c r="F8" s="34">
        <f>COUNTA('Plot By Plot SoA'!F33:F50)</f>
        <v>0</v>
      </c>
      <c r="G8" s="34">
        <f>COUNTA('Plot By Plot SoA'!G33:G50)</f>
        <v>7</v>
      </c>
      <c r="H8" s="34">
        <f>COUNTA('Plot By Plot SoA'!H33:H50)</f>
        <v>0</v>
      </c>
      <c r="I8" s="35">
        <f>COUNTA('Plot By Plot SoA'!I33:I50)</f>
        <v>0</v>
      </c>
      <c r="J8" s="38">
        <f>COUNTA('Plot By Plot SoA'!K33:K50)</f>
        <v>1</v>
      </c>
      <c r="K8" s="39">
        <f>COUNTA('Plot By Plot SoA'!L33:L50)</f>
        <v>5</v>
      </c>
      <c r="L8" s="39">
        <f>COUNTA('Plot By Plot SoA'!M33:M50)</f>
        <v>10</v>
      </c>
      <c r="M8" s="39">
        <f>COUNTA('Plot By Plot SoA'!N33:N50)</f>
        <v>1</v>
      </c>
      <c r="N8" s="35">
        <f>COUNTA('Plot By Plot SoA'!O33:O50)</f>
        <v>0</v>
      </c>
    </row>
    <row r="9" spans="1:15" ht="17.25" x14ac:dyDescent="0.35">
      <c r="A9" s="583" t="s">
        <v>23</v>
      </c>
      <c r="B9" s="34">
        <f>COUNTA('Plot By Plot SoA'!B51:B99)</f>
        <v>44</v>
      </c>
      <c r="C9" s="36">
        <f>SUM('Plot By Plot SoA'!C51:C99)</f>
        <v>3999.6999999999989</v>
      </c>
      <c r="D9" s="37">
        <f t="shared" si="0"/>
        <v>43052.370829999985</v>
      </c>
      <c r="E9" s="34">
        <f>COUNTA('Plot By Plot SoA'!E51:E99)</f>
        <v>25</v>
      </c>
      <c r="F9" s="34">
        <f>COUNTA('Plot By Plot SoA'!F51:F99)</f>
        <v>0</v>
      </c>
      <c r="G9" s="34">
        <f>COUNTA('Plot By Plot SoA'!G51:G99)</f>
        <v>19</v>
      </c>
      <c r="H9" s="34">
        <f>COUNTA('Plot By Plot SoA'!H51:H99)</f>
        <v>0</v>
      </c>
      <c r="I9" s="35">
        <f>COUNTA('Plot By Plot SoA'!I51:I99)</f>
        <v>0</v>
      </c>
      <c r="J9" s="38">
        <f>COUNTA('Plot By Plot SoA'!K51:K99)</f>
        <v>5</v>
      </c>
      <c r="K9" s="39">
        <f>COUNTA('Plot By Plot SoA'!L51:L99)</f>
        <v>13</v>
      </c>
      <c r="L9" s="39">
        <f>COUNTA('Plot By Plot SoA'!M51:M99)</f>
        <v>21</v>
      </c>
      <c r="M9" s="39">
        <f>COUNTA('Plot By Plot SoA'!N51:N99)</f>
        <v>5</v>
      </c>
      <c r="N9" s="35">
        <f>COUNTA('Plot By Plot SoA'!O51:O99)</f>
        <v>0</v>
      </c>
    </row>
    <row r="10" spans="1:15" ht="17.25" x14ac:dyDescent="0.35">
      <c r="A10" s="583" t="s">
        <v>103</v>
      </c>
      <c r="B10" s="34">
        <f>COUNTA('Plot By Plot SoA'!B247:B328)</f>
        <v>82</v>
      </c>
      <c r="C10" s="36">
        <f>SUM('Plot By Plot SoA'!C247:C328)</f>
        <v>4229.2000000000016</v>
      </c>
      <c r="D10" s="37">
        <f t="shared" si="0"/>
        <v>45522.685880000019</v>
      </c>
      <c r="E10" s="34">
        <f>COUNTA('Plot By Plot SoA'!E247:E328)</f>
        <v>0</v>
      </c>
      <c r="F10" s="34">
        <f>COUNTA('Plot By Plot SoA'!F247:F328)</f>
        <v>0</v>
      </c>
      <c r="G10" s="34">
        <f>COUNTA('Plot By Plot SoA'!G247:G328)</f>
        <v>3</v>
      </c>
      <c r="H10" s="34">
        <f>COUNTA('Plot By Plot SoA'!H247:H328)</f>
        <v>17</v>
      </c>
      <c r="I10" s="35">
        <f>COUNTA('Plot By Plot SoA'!I247:I328)</f>
        <v>62</v>
      </c>
      <c r="J10" s="38">
        <f>COUNTA('Plot By Plot SoA'!K247:K328)</f>
        <v>69</v>
      </c>
      <c r="K10" s="39">
        <f>COUNTA('Plot By Plot SoA'!L247:L328)</f>
        <v>11</v>
      </c>
      <c r="L10" s="39">
        <f>COUNTA('Plot By Plot SoA'!M247:M328)</f>
        <v>2</v>
      </c>
      <c r="M10" s="39">
        <f>COUNTA('Plot By Plot SoA'!N247:N328)</f>
        <v>0</v>
      </c>
      <c r="N10" s="35">
        <f>COUNTA('Plot By Plot SoA'!O247:O328)</f>
        <v>0</v>
      </c>
      <c r="O10" s="228"/>
    </row>
    <row r="11" spans="1:15" ht="17.25" x14ac:dyDescent="0.35">
      <c r="A11" s="589" t="s">
        <v>121</v>
      </c>
      <c r="B11" s="34">
        <f>COUNTA('Plot By Plot SoA'!B329:B353)</f>
        <v>19</v>
      </c>
      <c r="C11" s="36">
        <f>SUM('Plot By Plot SoA'!C329:C353)</f>
        <v>1417.4999999999998</v>
      </c>
      <c r="D11" s="37">
        <f t="shared" si="0"/>
        <v>15257.828249999997</v>
      </c>
      <c r="E11" s="34">
        <f>COUNTA('Plot By Plot SoA'!E329:E353)</f>
        <v>6</v>
      </c>
      <c r="F11" s="34">
        <f>COUNTA('Plot By Plot SoA'!F329:F353)</f>
        <v>0</v>
      </c>
      <c r="G11" s="34">
        <f>COUNTA('Plot By Plot SoA'!G329:G353)</f>
        <v>9</v>
      </c>
      <c r="H11" s="34">
        <f>COUNTA('Plot By Plot SoA'!H329:H353)</f>
        <v>0</v>
      </c>
      <c r="I11" s="35">
        <f>COUNTA('Plot By Plot SoA'!I329:I353)</f>
        <v>4</v>
      </c>
      <c r="J11" s="38">
        <f>COUNTA('Plot By Plot SoA'!K329:K353)</f>
        <v>8</v>
      </c>
      <c r="K11" s="39">
        <f>COUNTA('Plot By Plot SoA'!L329:L353)</f>
        <v>2</v>
      </c>
      <c r="L11" s="39">
        <f>COUNTA('Plot By Plot SoA'!M329:M353)</f>
        <v>9</v>
      </c>
      <c r="M11" s="39">
        <f>COUNTA('Plot By Plot SoA'!N329:N353)</f>
        <v>0</v>
      </c>
      <c r="N11" s="35">
        <f>COUNTA('Plot By Plot SoA'!O329:O353)</f>
        <v>0</v>
      </c>
    </row>
    <row r="12" spans="1:15" ht="17.25" x14ac:dyDescent="0.35">
      <c r="A12" s="583" t="s">
        <v>45</v>
      </c>
      <c r="B12" s="34">
        <f>COUNTA('Plot By Plot SoA'!B100:B139,'Plot By Plot SoA'!B173:B193)</f>
        <v>50</v>
      </c>
      <c r="C12" s="36">
        <f>SUM('Plot By Plot SoA'!C100:C139,'Plot By Plot SoA'!C173:C193)</f>
        <v>3914.1999999999985</v>
      </c>
      <c r="D12" s="37">
        <f>SUM(C12*10.7639)</f>
        <v>42132.057379999984</v>
      </c>
      <c r="E12" s="34">
        <f>COUNTA('Plot By Plot SoA'!E100:E139,'Plot By Plot SoA'!E173:E193)</f>
        <v>22</v>
      </c>
      <c r="F12" s="34">
        <f>COUNTA('Plot By Plot SoA'!F100:F139,'Plot By Plot SoA'!F173:F193)</f>
        <v>1</v>
      </c>
      <c r="G12" s="34">
        <f>COUNTA('Plot By Plot SoA'!G100:G139,'Plot By Plot SoA'!G173:G193)</f>
        <v>12</v>
      </c>
      <c r="H12" s="34">
        <f>COUNTA('Plot By Plot SoA'!H100:H139,'Plot By Plot SoA'!H173:H193)</f>
        <v>5</v>
      </c>
      <c r="I12" s="35">
        <f>COUNTA('Plot By Plot SoA'!I100:I139,'Plot By Plot SoA'!I173:I193)</f>
        <v>10</v>
      </c>
      <c r="J12" s="38">
        <f>COUNTA('Plot By Plot SoA'!K100:K139,'Plot By Plot SoA'!K173:K193)</f>
        <v>14</v>
      </c>
      <c r="K12" s="39">
        <f>COUNTA('Plot By Plot SoA'!L100:L139,'Plot By Plot SoA'!L173:L193)</f>
        <v>21</v>
      </c>
      <c r="L12" s="39">
        <f>COUNTA('Plot By Plot SoA'!M100:M139,'Plot By Plot SoA'!M173:M193)</f>
        <v>11</v>
      </c>
      <c r="M12" s="39">
        <f>COUNTA('Plot By Plot SoA'!N100:N139,'Plot By Plot SoA'!N173:N193)</f>
        <v>4</v>
      </c>
      <c r="N12" s="35">
        <f>COUNTA('Plot By Plot SoA'!O100:O139,'Plot By Plot SoA'!O173:O193)</f>
        <v>0</v>
      </c>
    </row>
    <row r="13" spans="1:15" ht="17.25" x14ac:dyDescent="0.35">
      <c r="A13" s="583" t="s">
        <v>26</v>
      </c>
      <c r="B13" s="34">
        <f>COUNTA('Plot By Plot SoA'!B194:B246)</f>
        <v>53</v>
      </c>
      <c r="C13" s="36">
        <f>SUM('Plot By Plot SoA'!C194:C246)</f>
        <v>3033.2999999999984</v>
      </c>
      <c r="D13" s="37">
        <f>SUM(C13*10.7639)</f>
        <v>32650.13786999998</v>
      </c>
      <c r="E13" s="34">
        <f>COUNTA('Plot By Plot SoA'!E194:E246)</f>
        <v>0</v>
      </c>
      <c r="F13" s="34">
        <f>COUNTA('Plot By Plot SoA'!F194:F246)</f>
        <v>0</v>
      </c>
      <c r="G13" s="34">
        <f>COUNTA('Plot By Plot SoA'!G194:G246)</f>
        <v>5</v>
      </c>
      <c r="H13" s="34">
        <f>COUNTA('Plot By Plot SoA'!H194:H246)</f>
        <v>5</v>
      </c>
      <c r="I13" s="35">
        <f>COUNTA('Plot By Plot SoA'!I194:I246)</f>
        <v>43</v>
      </c>
      <c r="J13" s="38">
        <f>COUNTA('Plot By Plot SoA'!K194:K246)</f>
        <v>40</v>
      </c>
      <c r="K13" s="39">
        <f>COUNTA('Plot By Plot SoA'!L194:L246)</f>
        <v>12</v>
      </c>
      <c r="L13" s="39">
        <f>COUNTA('Plot By Plot SoA'!M194:M246)</f>
        <v>1</v>
      </c>
      <c r="M13" s="39">
        <f>COUNTA('Plot By Plot SoA'!N194:N246)</f>
        <v>0</v>
      </c>
      <c r="N13" s="35">
        <f>COUNTA('Plot By Plot SoA'!O194:O246)</f>
        <v>0</v>
      </c>
    </row>
    <row r="14" spans="1:15" ht="17.25" x14ac:dyDescent="0.35">
      <c r="A14" s="583" t="s">
        <v>21</v>
      </c>
      <c r="B14" s="96">
        <f>COUNTA('Plot By Plot SoA'!B140:B172)</f>
        <v>27</v>
      </c>
      <c r="C14" s="36">
        <f>SUM('Plot By Plot SoA'!C140:C172)</f>
        <v>2383.6999999999998</v>
      </c>
      <c r="D14" s="37">
        <f>SUM(C14*10.7639)</f>
        <v>25657.908429999996</v>
      </c>
      <c r="E14" s="34">
        <f>COUNTA('Plot By Plot SoA'!E140:E172)</f>
        <v>24</v>
      </c>
      <c r="F14" s="34">
        <f>COUNTA('Plot By Plot SoA'!F140:F172)</f>
        <v>2</v>
      </c>
      <c r="G14" s="34">
        <f>COUNTA('Plot By Plot SoA'!G140:G172)</f>
        <v>1</v>
      </c>
      <c r="H14" s="34">
        <f>COUNTA('Plot By Plot SoA'!H140:H172)</f>
        <v>0</v>
      </c>
      <c r="I14" s="35">
        <f>COUNTA('Plot By Plot SoA'!I140:I172)</f>
        <v>0</v>
      </c>
      <c r="J14" s="38">
        <f>COUNTA('Plot By Plot SoA'!K140:K172)</f>
        <v>0</v>
      </c>
      <c r="K14" s="39">
        <f>COUNTA('Plot By Plot SoA'!L140:L172)</f>
        <v>16</v>
      </c>
      <c r="L14" s="39">
        <f>COUNTA('Plot By Plot SoA'!M140:M172)</f>
        <v>10</v>
      </c>
      <c r="M14" s="39">
        <f>COUNTA('Plot By Plot SoA'!N140:N172)</f>
        <v>1</v>
      </c>
      <c r="N14" s="35">
        <f>COUNTA('Plot By Plot SoA'!O140:O172)</f>
        <v>0</v>
      </c>
      <c r="O14" s="286"/>
    </row>
    <row r="15" spans="1:15" ht="17.25" x14ac:dyDescent="0.35">
      <c r="A15" s="601" t="s">
        <v>14</v>
      </c>
      <c r="B15" s="602">
        <f>COUNTA('[1]Plot By Plot SoA'!B328)</f>
        <v>1</v>
      </c>
      <c r="C15" s="603">
        <f>SUM('[1]Plot By Plot SoA'!C328)</f>
        <v>169.5</v>
      </c>
      <c r="D15" s="604">
        <f>SUM(C15*10.7639)</f>
        <v>1824.4810499999999</v>
      </c>
      <c r="E15" s="571"/>
      <c r="F15" s="571"/>
      <c r="G15" s="571"/>
      <c r="H15" s="34"/>
      <c r="I15" s="219"/>
      <c r="J15" s="38"/>
      <c r="K15" s="134"/>
      <c r="L15" s="134"/>
      <c r="M15" s="134"/>
      <c r="N15" s="35"/>
    </row>
    <row r="16" spans="1:15" ht="18" thickBot="1" x14ac:dyDescent="0.4">
      <c r="A16" s="605" t="s">
        <v>325</v>
      </c>
      <c r="B16" s="606">
        <f>COUNTA('[1]Plot By Plot SoA'!B323:B327)</f>
        <v>5</v>
      </c>
      <c r="C16" s="607">
        <f>'Commercial Units'!D11</f>
        <v>309.82</v>
      </c>
      <c r="D16" s="604">
        <f>SUM(C16*10.7639)</f>
        <v>3334.871498</v>
      </c>
      <c r="E16" s="572"/>
      <c r="F16" s="572"/>
      <c r="G16" s="572"/>
      <c r="H16" s="590"/>
      <c r="I16" s="591"/>
      <c r="J16" s="41"/>
      <c r="K16" s="64"/>
      <c r="L16" s="64"/>
      <c r="M16" s="64"/>
      <c r="N16" s="573"/>
    </row>
    <row r="17" spans="1:16" ht="17.25" thickBot="1" x14ac:dyDescent="0.35">
      <c r="A17" s="592" t="s">
        <v>5</v>
      </c>
      <c r="B17" s="593">
        <f>SUM(B6:B14)</f>
        <v>317</v>
      </c>
      <c r="C17" s="594"/>
      <c r="D17" s="595"/>
      <c r="E17" s="595">
        <f t="shared" ref="E17:N17" si="1">SUM(E6:E14)</f>
        <v>104</v>
      </c>
      <c r="F17" s="595">
        <f t="shared" ref="F17" si="2">SUM(F6:F14)</f>
        <v>3</v>
      </c>
      <c r="G17" s="595">
        <f t="shared" si="1"/>
        <v>64</v>
      </c>
      <c r="H17" s="595">
        <f t="shared" si="1"/>
        <v>27</v>
      </c>
      <c r="I17" s="595">
        <f t="shared" si="1"/>
        <v>119</v>
      </c>
      <c r="J17" s="596">
        <f t="shared" si="1"/>
        <v>139</v>
      </c>
      <c r="K17" s="596">
        <f t="shared" si="1"/>
        <v>96</v>
      </c>
      <c r="L17" s="596">
        <f t="shared" si="1"/>
        <v>69</v>
      </c>
      <c r="M17" s="596">
        <f t="shared" si="1"/>
        <v>13</v>
      </c>
      <c r="N17" s="597">
        <f t="shared" si="1"/>
        <v>0</v>
      </c>
      <c r="P17" s="230"/>
    </row>
    <row r="18" spans="1:16" ht="17.25" thickBot="1" x14ac:dyDescent="0.35">
      <c r="A18" s="282" t="s">
        <v>321</v>
      </c>
      <c r="B18" s="1702">
        <f>SUM(D6:D14)</f>
        <v>244278.09937999997</v>
      </c>
      <c r="C18" s="1703"/>
      <c r="D18" s="1703"/>
      <c r="E18" s="1703"/>
      <c r="F18" s="1703"/>
      <c r="G18" s="1703"/>
      <c r="H18" s="1703"/>
      <c r="I18" s="1704"/>
      <c r="J18" s="11">
        <f>SUM(1/J19*J17)</f>
        <v>0.43848580441640378</v>
      </c>
      <c r="K18" s="12">
        <f>SUM(1/J19*K17)</f>
        <v>0.30283911671924291</v>
      </c>
      <c r="L18" s="12">
        <f>SUM(1/J19*L17)</f>
        <v>0.21766561514195584</v>
      </c>
      <c r="M18" s="12">
        <f>SUM(1/J19*M17)</f>
        <v>4.1009463722397478E-2</v>
      </c>
      <c r="N18" s="13">
        <f>SUM(1/J19*N17)</f>
        <v>0</v>
      </c>
    </row>
    <row r="19" spans="1:16" ht="30.75" thickBot="1" x14ac:dyDescent="0.35">
      <c r="A19" s="608" t="s">
        <v>322</v>
      </c>
      <c r="B19" s="1705">
        <f>SUM(D15+D16)</f>
        <v>5159.3525479999998</v>
      </c>
      <c r="C19" s="1706"/>
      <c r="D19" s="1706"/>
      <c r="E19" s="1706"/>
      <c r="F19" s="1706"/>
      <c r="G19" s="1706"/>
      <c r="H19" s="1706"/>
      <c r="I19" s="1707"/>
      <c r="J19" s="1724">
        <f>SUM(J17:N17)</f>
        <v>317</v>
      </c>
      <c r="K19" s="1725"/>
      <c r="L19" s="1725"/>
      <c r="M19" s="1725"/>
      <c r="N19" s="1726"/>
    </row>
    <row r="20" spans="1:16" ht="45.75" thickBot="1" x14ac:dyDescent="0.35">
      <c r="A20" s="609" t="s">
        <v>324</v>
      </c>
      <c r="B20" s="1705">
        <f>SUM('Commercial Units'!E17)</f>
        <v>47338.017615000004</v>
      </c>
      <c r="C20" s="1706"/>
      <c r="D20" s="1706"/>
      <c r="E20" s="1706"/>
      <c r="F20" s="1706"/>
      <c r="G20" s="1706"/>
      <c r="H20" s="1706"/>
      <c r="I20" s="1707"/>
      <c r="J20" s="1727"/>
      <c r="K20" s="1728"/>
      <c r="L20" s="1728"/>
      <c r="M20" s="1728"/>
      <c r="N20" s="1729"/>
    </row>
    <row r="21" spans="1:16" ht="30.75" thickBot="1" x14ac:dyDescent="0.4">
      <c r="A21" s="598" t="s">
        <v>323</v>
      </c>
      <c r="B21" s="1700">
        <f>'Plot By Plot SoA'!M379</f>
        <v>31799.251574999995</v>
      </c>
      <c r="C21" s="1700"/>
      <c r="D21" s="1700"/>
      <c r="E21" s="1700"/>
      <c r="F21" s="1700"/>
      <c r="G21" s="1700"/>
      <c r="H21" s="1700"/>
      <c r="I21" s="1701"/>
      <c r="J21" s="25"/>
      <c r="K21" s="25"/>
      <c r="L21" s="25"/>
      <c r="M21" s="25"/>
      <c r="N21" s="25"/>
    </row>
    <row r="22" spans="1:16" ht="30.75" thickBot="1" x14ac:dyDescent="0.4">
      <c r="A22" s="598" t="s">
        <v>327</v>
      </c>
      <c r="B22" s="1700">
        <f>SUM(B21+B18+B19+B20)</f>
        <v>328574.72111799999</v>
      </c>
      <c r="C22" s="1700"/>
      <c r="D22" s="1700"/>
      <c r="E22" s="1700"/>
      <c r="F22" s="1700"/>
      <c r="G22" s="1700"/>
      <c r="H22" s="1700"/>
      <c r="I22" s="1701"/>
      <c r="J22" s="25"/>
      <c r="K22" s="25"/>
      <c r="L22" s="25"/>
      <c r="M22" s="25"/>
      <c r="N22" s="25"/>
    </row>
    <row r="23" spans="1:16" ht="17.25" x14ac:dyDescent="0.35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</row>
    <row r="24" spans="1:16" ht="17.25" x14ac:dyDescent="0.3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</row>
    <row r="25" spans="1:16" ht="17.25" x14ac:dyDescent="0.3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16" ht="17.25" x14ac:dyDescent="0.35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</row>
    <row r="27" spans="1:16" ht="17.25" x14ac:dyDescent="0.3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</row>
    <row r="28" spans="1:16" ht="17.25" x14ac:dyDescent="0.3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</row>
    <row r="29" spans="1:16" ht="17.25" x14ac:dyDescent="0.3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</row>
    <row r="30" spans="1:16" ht="17.25" x14ac:dyDescent="0.3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</row>
    <row r="31" spans="1:16" ht="17.25" x14ac:dyDescent="0.3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</row>
    <row r="32" spans="1:16" ht="17.25" x14ac:dyDescent="0.3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</row>
    <row r="33" spans="1:14" ht="17.25" x14ac:dyDescent="0.3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</row>
    <row r="34" spans="1:14" ht="17.25" x14ac:dyDescent="0.3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</row>
    <row r="35" spans="1:14" ht="17.25" x14ac:dyDescent="0.3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</row>
    <row r="36" spans="1:14" ht="17.25" x14ac:dyDescent="0.3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</row>
    <row r="37" spans="1:14" ht="17.25" x14ac:dyDescent="0.3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</row>
    <row r="38" spans="1:14" ht="17.25" x14ac:dyDescent="0.3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</row>
  </sheetData>
  <mergeCells count="17">
    <mergeCell ref="A1:A4"/>
    <mergeCell ref="E3:E4"/>
    <mergeCell ref="B3:B4"/>
    <mergeCell ref="C3:C4"/>
    <mergeCell ref="G3:G4"/>
    <mergeCell ref="D3:D4"/>
    <mergeCell ref="B21:I21"/>
    <mergeCell ref="B22:I22"/>
    <mergeCell ref="B18:I18"/>
    <mergeCell ref="B19:I19"/>
    <mergeCell ref="B1:N2"/>
    <mergeCell ref="H3:H4"/>
    <mergeCell ref="I3:I4"/>
    <mergeCell ref="J3:N4"/>
    <mergeCell ref="J19:N20"/>
    <mergeCell ref="B20:I20"/>
    <mergeCell ref="F3:F4"/>
  </mergeCells>
  <pageMargins left="0.7" right="0.7" top="0.75" bottom="0.75" header="0.3" footer="0.3"/>
  <pageSetup paperSize="8" fitToHeight="0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4A38B-6ADA-4D58-85E5-67D26F6AC7C8}">
  <dimension ref="A1:P31"/>
  <sheetViews>
    <sheetView zoomScale="85" zoomScaleNormal="85" workbookViewId="0">
      <selection activeCell="C6" sqref="C6:D7"/>
    </sheetView>
  </sheetViews>
  <sheetFormatPr defaultRowHeight="15" x14ac:dyDescent="0.25"/>
  <cols>
    <col min="2" max="2" width="12.7109375" customWidth="1"/>
    <col min="3" max="3" width="26.5703125" customWidth="1"/>
    <col min="4" max="7" width="17.7109375" customWidth="1"/>
  </cols>
  <sheetData>
    <row r="1" spans="1:16" ht="15" customHeight="1" x14ac:dyDescent="0.25">
      <c r="A1" s="1746" t="s">
        <v>84</v>
      </c>
      <c r="B1" s="1747"/>
      <c r="C1" s="1747"/>
      <c r="D1" s="1747"/>
      <c r="E1" s="1747"/>
      <c r="F1" s="1747"/>
      <c r="G1" s="1748"/>
      <c r="H1" s="360"/>
      <c r="I1" s="360"/>
      <c r="J1" s="360"/>
      <c r="K1" s="360"/>
      <c r="L1" s="360"/>
      <c r="M1" s="360"/>
      <c r="N1" s="360"/>
      <c r="O1" s="360"/>
      <c r="P1" s="360"/>
    </row>
    <row r="2" spans="1:16" ht="15.75" customHeight="1" x14ac:dyDescent="0.25">
      <c r="A2" s="1749"/>
      <c r="B2" s="1750"/>
      <c r="C2" s="1750"/>
      <c r="D2" s="1750"/>
      <c r="E2" s="1750"/>
      <c r="F2" s="1750"/>
      <c r="G2" s="1751"/>
      <c r="H2" s="360"/>
      <c r="I2" s="360"/>
      <c r="J2" s="360"/>
      <c r="K2" s="360"/>
      <c r="L2" s="360"/>
      <c r="M2" s="360"/>
      <c r="N2" s="360"/>
      <c r="O2" s="360"/>
      <c r="P2" s="360"/>
    </row>
    <row r="3" spans="1:16" ht="15.75" customHeight="1" x14ac:dyDescent="0.25">
      <c r="A3" s="367"/>
      <c r="B3" s="368"/>
      <c r="C3" s="368"/>
      <c r="D3" s="1770" t="s">
        <v>171</v>
      </c>
      <c r="E3" s="1771"/>
      <c r="F3" s="1744" t="s">
        <v>172</v>
      </c>
      <c r="G3" s="1745"/>
      <c r="H3" s="360"/>
      <c r="I3" s="360"/>
      <c r="J3" s="360"/>
      <c r="K3" s="360"/>
      <c r="L3" s="360"/>
      <c r="M3" s="360"/>
      <c r="N3" s="360"/>
      <c r="O3" s="360"/>
      <c r="P3" s="360"/>
    </row>
    <row r="4" spans="1:16" ht="15" customHeight="1" x14ac:dyDescent="0.25">
      <c r="A4" s="1766"/>
      <c r="B4" s="1767"/>
      <c r="C4" s="1762" t="s">
        <v>173</v>
      </c>
      <c r="D4" s="1764" t="s">
        <v>4</v>
      </c>
      <c r="E4" s="1760" t="s">
        <v>18</v>
      </c>
      <c r="F4" s="1752" t="s">
        <v>4</v>
      </c>
      <c r="G4" s="1754" t="s">
        <v>18</v>
      </c>
      <c r="H4" s="361"/>
    </row>
    <row r="5" spans="1:16" x14ac:dyDescent="0.25">
      <c r="A5" s="1768"/>
      <c r="B5" s="1769"/>
      <c r="C5" s="1763"/>
      <c r="D5" s="1765"/>
      <c r="E5" s="1761"/>
      <c r="F5" s="1753"/>
      <c r="G5" s="1755"/>
      <c r="H5" s="361"/>
    </row>
    <row r="6" spans="1:16" ht="17.25" customHeight="1" x14ac:dyDescent="0.35">
      <c r="A6" s="1756" t="s">
        <v>208</v>
      </c>
      <c r="B6" s="1757"/>
      <c r="C6" s="407" t="s">
        <v>9</v>
      </c>
      <c r="D6" s="402">
        <f>'Plot By Plot SoA'!C354</f>
        <v>69.25</v>
      </c>
      <c r="E6" s="362">
        <f>SUM(D6*10.7639)</f>
        <v>745.40007500000002</v>
      </c>
      <c r="F6" s="373">
        <v>61.25</v>
      </c>
      <c r="G6" s="380">
        <f>SUM(F6*10.7639)</f>
        <v>659.28887499999996</v>
      </c>
    </row>
    <row r="7" spans="1:16" ht="16.5" x14ac:dyDescent="0.35">
      <c r="A7" s="1756"/>
      <c r="B7" s="1757"/>
      <c r="C7" s="408" t="s">
        <v>10</v>
      </c>
      <c r="D7" s="403">
        <f>'Plot By Plot SoA'!C355</f>
        <v>71.569999999999993</v>
      </c>
      <c r="E7" s="363">
        <f>SUM(D7*10.7639)</f>
        <v>770.37232299999994</v>
      </c>
      <c r="F7" s="375">
        <v>95.85</v>
      </c>
      <c r="G7" s="376">
        <f>SUM(F7*10.7639)</f>
        <v>1031.7198149999999</v>
      </c>
    </row>
    <row r="8" spans="1:16" ht="16.5" x14ac:dyDescent="0.35">
      <c r="A8" s="1756"/>
      <c r="B8" s="1757"/>
      <c r="C8" s="408" t="s">
        <v>11</v>
      </c>
      <c r="D8" s="403">
        <f>'Plot By Plot SoA'!C356</f>
        <v>75</v>
      </c>
      <c r="E8" s="363">
        <f>SUM(D8*10.7639)</f>
        <v>807.29250000000002</v>
      </c>
      <c r="F8" s="375">
        <v>67.7</v>
      </c>
      <c r="G8" s="376">
        <f>SUM(F8*10.7639)</f>
        <v>728.71603000000005</v>
      </c>
    </row>
    <row r="9" spans="1:16" ht="16.5" x14ac:dyDescent="0.35">
      <c r="A9" s="1756"/>
      <c r="B9" s="1757"/>
      <c r="C9" s="408" t="s">
        <v>12</v>
      </c>
      <c r="D9" s="403">
        <f>'Plot By Plot SoA'!C357</f>
        <v>47</v>
      </c>
      <c r="E9" s="363">
        <f>SUM(D9*10.7639)</f>
        <v>505.9033</v>
      </c>
      <c r="F9" s="375">
        <v>38.9</v>
      </c>
      <c r="G9" s="376">
        <f>SUM(F9*10.7639)</f>
        <v>418.71570999999994</v>
      </c>
    </row>
    <row r="10" spans="1:16" ht="18.75" customHeight="1" x14ac:dyDescent="0.35">
      <c r="A10" s="1758"/>
      <c r="B10" s="1759"/>
      <c r="C10" s="409" t="s">
        <v>13</v>
      </c>
      <c r="D10" s="404">
        <f>'Plot By Plot SoA'!C358</f>
        <v>47</v>
      </c>
      <c r="E10" s="364">
        <f>SUM(D10*10.7639)</f>
        <v>505.9033</v>
      </c>
      <c r="F10" s="370">
        <v>37.9</v>
      </c>
      <c r="G10" s="369">
        <f>SUM(F10*10.7639)</f>
        <v>407.95180999999997</v>
      </c>
    </row>
    <row r="11" spans="1:16" ht="17.25" customHeight="1" x14ac:dyDescent="0.25">
      <c r="A11" s="1742" t="s">
        <v>47</v>
      </c>
      <c r="B11" s="1743"/>
      <c r="C11" s="1743"/>
      <c r="D11" s="410">
        <f>SUM(D6:D10)</f>
        <v>309.82</v>
      </c>
      <c r="E11" s="366">
        <f>SUM(E6:E10)</f>
        <v>3334.871498</v>
      </c>
      <c r="F11" s="371">
        <f>SUM(F6:F10)</f>
        <v>301.59999999999997</v>
      </c>
      <c r="G11" s="372">
        <f>SUM(G6:G10)</f>
        <v>3246.3922400000001</v>
      </c>
    </row>
    <row r="12" spans="1:16" ht="17.25" customHeight="1" x14ac:dyDescent="0.35">
      <c r="A12" s="1739" t="s">
        <v>219</v>
      </c>
      <c r="B12" s="1451"/>
      <c r="C12" s="405" t="s">
        <v>209</v>
      </c>
      <c r="D12" s="402">
        <v>251.5</v>
      </c>
      <c r="E12" s="362">
        <f t="shared" ref="E12:E17" si="0">SUM(D12*10.7639)</f>
        <v>2707.1208499999998</v>
      </c>
      <c r="F12" s="373" t="s">
        <v>77</v>
      </c>
      <c r="G12" s="374" t="s">
        <v>77</v>
      </c>
    </row>
    <row r="13" spans="1:16" ht="16.5" x14ac:dyDescent="0.35">
      <c r="A13" s="1740"/>
      <c r="B13" s="1508"/>
      <c r="C13" s="406" t="s">
        <v>210</v>
      </c>
      <c r="D13" s="386">
        <v>488.35</v>
      </c>
      <c r="E13" s="365">
        <f t="shared" si="0"/>
        <v>5256.5505650000005</v>
      </c>
      <c r="F13" s="379">
        <v>462.25</v>
      </c>
      <c r="G13" s="376">
        <f>SUM(F13*10.7639)</f>
        <v>4975.6127749999996</v>
      </c>
      <c r="J13" s="496"/>
    </row>
    <row r="14" spans="1:16" ht="16.5" x14ac:dyDescent="0.35">
      <c r="A14" s="1740"/>
      <c r="B14" s="1508"/>
      <c r="C14" s="406" t="s">
        <v>211</v>
      </c>
      <c r="D14" s="386">
        <v>400</v>
      </c>
      <c r="E14" s="365">
        <f t="shared" si="0"/>
        <v>4305.5599999999995</v>
      </c>
      <c r="F14" s="379">
        <v>339</v>
      </c>
      <c r="G14" s="411">
        <f>SUM(F14*10.7639)</f>
        <v>3648.9620999999997</v>
      </c>
    </row>
    <row r="15" spans="1:16" ht="16.5" x14ac:dyDescent="0.35">
      <c r="A15" s="1740"/>
      <c r="B15" s="1508"/>
      <c r="C15" s="415" t="s">
        <v>212</v>
      </c>
      <c r="D15" s="412">
        <v>445</v>
      </c>
      <c r="E15" s="413">
        <f t="shared" si="0"/>
        <v>4789.9354999999996</v>
      </c>
      <c r="F15" s="379" t="s">
        <v>77</v>
      </c>
      <c r="G15" s="419" t="s">
        <v>77</v>
      </c>
    </row>
    <row r="16" spans="1:16" ht="16.5" x14ac:dyDescent="0.35">
      <c r="A16" s="1741"/>
      <c r="B16" s="1476"/>
      <c r="C16" s="416" t="s">
        <v>213</v>
      </c>
      <c r="D16" s="417">
        <v>2813</v>
      </c>
      <c r="E16" s="418">
        <f t="shared" si="0"/>
        <v>30278.850699999999</v>
      </c>
      <c r="F16" s="377" t="s">
        <v>77</v>
      </c>
      <c r="G16" s="420" t="s">
        <v>77</v>
      </c>
    </row>
    <row r="17" spans="1:11" ht="17.25" thickBot="1" x14ac:dyDescent="0.4">
      <c r="A17" s="1774" t="s">
        <v>47</v>
      </c>
      <c r="B17" s="1775"/>
      <c r="C17" s="1775"/>
      <c r="D17" s="423">
        <f>SUM(D12:D16)</f>
        <v>4397.8500000000004</v>
      </c>
      <c r="E17" s="424">
        <f t="shared" si="0"/>
        <v>47338.017615000004</v>
      </c>
      <c r="F17" s="421">
        <f>SUM(F13:F14,D12,D15,D16)</f>
        <v>4310.75</v>
      </c>
      <c r="G17" s="422">
        <f>SUM(F17*10.7639)</f>
        <v>46400.481925</v>
      </c>
    </row>
    <row r="18" spans="1:11" ht="17.25" thickBot="1" x14ac:dyDescent="0.4">
      <c r="A18" s="1776" t="s">
        <v>38</v>
      </c>
      <c r="B18" s="1777"/>
      <c r="C18" s="1777"/>
      <c r="D18" s="425">
        <f>SUM(D6:D16)</f>
        <v>5017.49</v>
      </c>
      <c r="E18" s="426">
        <f>SUM(E6:E16)</f>
        <v>54007.760611000005</v>
      </c>
      <c r="F18" s="414">
        <f>SUM(F11+F17)</f>
        <v>4612.3500000000004</v>
      </c>
      <c r="G18" s="378">
        <f>SUM(G11+G17)</f>
        <v>49646.874165000001</v>
      </c>
      <c r="K18" s="381"/>
    </row>
    <row r="20" spans="1:11" ht="15.75" x14ac:dyDescent="0.3">
      <c r="A20" s="494" t="s">
        <v>250</v>
      </c>
    </row>
    <row r="21" spans="1:11" ht="16.5" x14ac:dyDescent="0.35">
      <c r="A21" s="284">
        <v>4922</v>
      </c>
      <c r="B21" s="284" t="s">
        <v>243</v>
      </c>
      <c r="C21" s="495">
        <f>SUM(A21*10.7639)</f>
        <v>52979.915799999995</v>
      </c>
      <c r="D21" t="s">
        <v>242</v>
      </c>
    </row>
    <row r="24" spans="1:11" x14ac:dyDescent="0.25">
      <c r="B24" s="520"/>
      <c r="C24" s="520"/>
    </row>
    <row r="25" spans="1:11" ht="16.5" x14ac:dyDescent="0.35">
      <c r="A25" s="284"/>
      <c r="B25" s="284"/>
      <c r="C25" s="1773"/>
      <c r="D25" s="1772" t="s">
        <v>267</v>
      </c>
      <c r="E25" s="1772"/>
      <c r="F25" s="1772" t="s">
        <v>268</v>
      </c>
      <c r="G25" s="1772"/>
    </row>
    <row r="26" spans="1:11" ht="16.5" x14ac:dyDescent="0.35">
      <c r="B26" s="284"/>
      <c r="C26" s="1773"/>
      <c r="D26" s="523" t="s">
        <v>270</v>
      </c>
      <c r="E26" s="523" t="s">
        <v>269</v>
      </c>
      <c r="F26" s="523" t="s">
        <v>270</v>
      </c>
      <c r="G26" s="523" t="s">
        <v>269</v>
      </c>
    </row>
    <row r="27" spans="1:11" ht="16.5" x14ac:dyDescent="0.35">
      <c r="B27" s="284"/>
      <c r="C27" s="523" t="s">
        <v>265</v>
      </c>
      <c r="D27" s="522">
        <v>335</v>
      </c>
      <c r="E27" s="524">
        <f>SUM(D27*10.7639)</f>
        <v>3605.9065000000001</v>
      </c>
      <c r="F27" s="525">
        <f>D12</f>
        <v>251.5</v>
      </c>
      <c r="G27" s="526">
        <f>E12</f>
        <v>2707.1208499999998</v>
      </c>
    </row>
    <row r="28" spans="1:11" ht="16.5" x14ac:dyDescent="0.35">
      <c r="A28" s="284"/>
      <c r="B28" s="284"/>
      <c r="C28" s="523" t="s">
        <v>266</v>
      </c>
      <c r="D28" s="522">
        <v>269.89999999999998</v>
      </c>
      <c r="E28" s="524">
        <f>SUM(D28*10.7639)</f>
        <v>2905.1766099999995</v>
      </c>
      <c r="F28" s="525">
        <f>D13</f>
        <v>488.35</v>
      </c>
      <c r="G28" s="526">
        <f>E13</f>
        <v>5256.5505650000005</v>
      </c>
    </row>
    <row r="29" spans="1:11" ht="16.5" x14ac:dyDescent="0.35">
      <c r="A29" s="284"/>
      <c r="B29" s="284"/>
      <c r="C29" s="523" t="s">
        <v>52</v>
      </c>
      <c r="D29" s="527">
        <f>SUM(D27:D28)</f>
        <v>604.9</v>
      </c>
      <c r="E29" s="527">
        <f t="shared" ref="E29:G29" si="1">SUM(E27:E28)</f>
        <v>6511.0831099999996</v>
      </c>
      <c r="F29" s="527">
        <f t="shared" si="1"/>
        <v>739.85</v>
      </c>
      <c r="G29" s="527">
        <f t="shared" si="1"/>
        <v>7963.6714150000007</v>
      </c>
    </row>
    <row r="30" spans="1:11" ht="16.5" x14ac:dyDescent="0.35">
      <c r="A30" s="284"/>
      <c r="B30" s="284"/>
      <c r="C30" s="284"/>
      <c r="D30" s="284"/>
      <c r="E30" s="284"/>
      <c r="F30" s="284"/>
      <c r="G30" s="284"/>
    </row>
    <row r="31" spans="1:11" ht="16.5" x14ac:dyDescent="0.35">
      <c r="A31" s="284"/>
      <c r="B31" s="284"/>
      <c r="C31" s="284"/>
      <c r="D31" s="284"/>
      <c r="E31" s="284"/>
      <c r="F31" s="284"/>
      <c r="G31" s="284"/>
    </row>
  </sheetData>
  <mergeCells count="17">
    <mergeCell ref="D25:E25"/>
    <mergeCell ref="F25:G25"/>
    <mergeCell ref="C25:C26"/>
    <mergeCell ref="A17:C17"/>
    <mergeCell ref="A18:C18"/>
    <mergeCell ref="A12:B16"/>
    <mergeCell ref="A11:C11"/>
    <mergeCell ref="F3:G3"/>
    <mergeCell ref="A1:G2"/>
    <mergeCell ref="F4:F5"/>
    <mergeCell ref="G4:G5"/>
    <mergeCell ref="A6:B10"/>
    <mergeCell ref="E4:E5"/>
    <mergeCell ref="C4:C5"/>
    <mergeCell ref="D4:D5"/>
    <mergeCell ref="A4:B5"/>
    <mergeCell ref="D3:E3"/>
  </mergeCells>
  <printOptions horizontalCentered="1" verticalCentered="1"/>
  <pageMargins left="0.70866141732283472" right="0.31496062992125984" top="0.74803149606299213" bottom="0.74803149606299213" header="0.31496062992125984" footer="0.31496062992125984"/>
  <pageSetup paperSize="9" fitToHeight="0" orientation="landscape" r:id="rId1"/>
  <ignoredErrors>
    <ignoredError sqref="E11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78E7-678C-47AD-9A32-9C8178ACF36D}">
  <dimension ref="A1:T46"/>
  <sheetViews>
    <sheetView zoomScale="85" zoomScaleNormal="85" workbookViewId="0">
      <selection activeCell="R10" sqref="R10:R11"/>
    </sheetView>
  </sheetViews>
  <sheetFormatPr defaultRowHeight="15" x14ac:dyDescent="0.25"/>
  <cols>
    <col min="1" max="1" width="29.5703125" customWidth="1"/>
    <col min="2" max="3" width="13.28515625" customWidth="1"/>
    <col min="4" max="4" width="15.85546875" customWidth="1"/>
    <col min="5" max="5" width="14.85546875" customWidth="1"/>
    <col min="7" max="7" width="14.140625" customWidth="1"/>
    <col min="8" max="8" width="19.7109375" bestFit="1" customWidth="1"/>
    <col min="9" max="9" width="12.42578125" customWidth="1"/>
    <col min="17" max="17" width="25.42578125" customWidth="1"/>
    <col min="18" max="19" width="10.5703125" bestFit="1" customWidth="1"/>
  </cols>
  <sheetData>
    <row r="1" spans="1:20" ht="34.5" customHeight="1" thickBot="1" x14ac:dyDescent="0.35">
      <c r="A1" s="1780" t="s">
        <v>221</v>
      </c>
      <c r="B1" s="1782" t="s">
        <v>222</v>
      </c>
      <c r="C1" s="1781"/>
      <c r="D1" s="1778" t="s">
        <v>223</v>
      </c>
      <c r="E1" s="1778"/>
      <c r="F1" s="2"/>
      <c r="G1" s="2"/>
    </row>
    <row r="2" spans="1:20" ht="18" thickBot="1" x14ac:dyDescent="0.4">
      <c r="A2" s="1781"/>
      <c r="B2" s="473" t="s">
        <v>243</v>
      </c>
      <c r="C2" s="474" t="s">
        <v>242</v>
      </c>
      <c r="D2" s="473" t="s">
        <v>242</v>
      </c>
      <c r="E2" s="466" t="s">
        <v>242</v>
      </c>
      <c r="F2" s="2"/>
      <c r="G2" s="2"/>
    </row>
    <row r="3" spans="1:20" ht="17.25" x14ac:dyDescent="0.35">
      <c r="A3" s="470" t="s">
        <v>229</v>
      </c>
      <c r="B3" s="468">
        <v>22694</v>
      </c>
      <c r="C3" s="469">
        <f>SUM(B3*10.7639104)</f>
        <v>244276.18261760002</v>
      </c>
      <c r="D3" s="467" t="s">
        <v>77</v>
      </c>
      <c r="E3" s="467" t="s">
        <v>77</v>
      </c>
      <c r="F3" s="2"/>
      <c r="G3" s="2"/>
      <c r="K3" s="505"/>
    </row>
    <row r="4" spans="1:20" ht="17.25" x14ac:dyDescent="0.35">
      <c r="A4" s="470" t="s">
        <v>232</v>
      </c>
      <c r="B4" s="467">
        <v>342.6</v>
      </c>
      <c r="C4" s="469">
        <f t="shared" ref="C4:C9" si="0">SUM(B4*10.7639104)</f>
        <v>3687.7157030400003</v>
      </c>
      <c r="D4" s="467" t="s">
        <v>77</v>
      </c>
      <c r="E4" s="467" t="s">
        <v>77</v>
      </c>
      <c r="F4" s="2"/>
      <c r="G4" s="2"/>
    </row>
    <row r="5" spans="1:20" ht="17.25" x14ac:dyDescent="0.35">
      <c r="A5" s="470" t="s">
        <v>224</v>
      </c>
      <c r="B5" s="467">
        <v>169.5</v>
      </c>
      <c r="C5" s="469">
        <f t="shared" si="0"/>
        <v>1824.4828128000001</v>
      </c>
      <c r="D5" s="467" t="s">
        <v>77</v>
      </c>
      <c r="E5" s="467" t="s">
        <v>77</v>
      </c>
      <c r="F5" s="2"/>
      <c r="G5" s="2"/>
    </row>
    <row r="6" spans="1:20" ht="17.25" x14ac:dyDescent="0.35">
      <c r="A6" s="470" t="s">
        <v>31</v>
      </c>
      <c r="B6" s="467">
        <v>171.7</v>
      </c>
      <c r="C6" s="469">
        <f t="shared" si="0"/>
        <v>1848.1634156799998</v>
      </c>
      <c r="D6" s="467" t="s">
        <v>77</v>
      </c>
      <c r="E6" s="467" t="s">
        <v>77</v>
      </c>
      <c r="F6" s="2"/>
      <c r="G6" s="2"/>
      <c r="Q6" s="497"/>
      <c r="R6" s="497"/>
      <c r="S6" s="497"/>
    </row>
    <row r="7" spans="1:20" ht="17.25" x14ac:dyDescent="0.35">
      <c r="A7" s="470" t="s">
        <v>32</v>
      </c>
      <c r="B7" s="467">
        <v>254.5</v>
      </c>
      <c r="C7" s="469">
        <f t="shared" si="0"/>
        <v>2739.4151968000001</v>
      </c>
      <c r="D7" s="467" t="s">
        <v>77</v>
      </c>
      <c r="E7" s="467" t="s">
        <v>77</v>
      </c>
      <c r="F7" s="2"/>
      <c r="G7" s="2"/>
      <c r="N7" s="497"/>
      <c r="O7" s="497"/>
      <c r="P7" s="500"/>
      <c r="Q7" s="501" t="s">
        <v>254</v>
      </c>
      <c r="R7" s="498" t="s">
        <v>255</v>
      </c>
      <c r="S7" s="502" t="s">
        <v>256</v>
      </c>
    </row>
    <row r="8" spans="1:20" ht="17.25" x14ac:dyDescent="0.35">
      <c r="A8" s="470" t="s">
        <v>225</v>
      </c>
      <c r="B8" s="467">
        <v>2105.85</v>
      </c>
      <c r="C8" s="469">
        <f t="shared" si="0"/>
        <v>22667.180715840001</v>
      </c>
      <c r="D8" s="467" t="s">
        <v>77</v>
      </c>
      <c r="E8" s="467" t="s">
        <v>77</v>
      </c>
      <c r="F8" s="2"/>
      <c r="G8" s="2"/>
      <c r="I8" s="505"/>
      <c r="M8" s="499"/>
      <c r="N8" s="1800" t="s">
        <v>253</v>
      </c>
      <c r="O8" s="1800"/>
      <c r="P8" s="1801"/>
      <c r="Q8" s="1788" t="s">
        <v>77</v>
      </c>
      <c r="R8" s="1804">
        <f>SUM(B3+B6+B7+B8+B9+B5)</f>
        <v>25677.149999999998</v>
      </c>
      <c r="S8" s="1790">
        <f>R8</f>
        <v>25677.149999999998</v>
      </c>
    </row>
    <row r="9" spans="1:20" ht="17.25" x14ac:dyDescent="0.35">
      <c r="A9" s="470" t="s">
        <v>226</v>
      </c>
      <c r="B9" s="467">
        <v>281.60000000000002</v>
      </c>
      <c r="C9" s="469">
        <f t="shared" si="0"/>
        <v>3031.1171686400003</v>
      </c>
      <c r="D9" s="467" t="s">
        <v>77</v>
      </c>
      <c r="E9" s="467" t="s">
        <v>77</v>
      </c>
      <c r="F9" s="2"/>
      <c r="G9" s="2"/>
      <c r="I9" s="506"/>
      <c r="M9" s="499"/>
      <c r="N9" s="1802"/>
      <c r="O9" s="1802"/>
      <c r="P9" s="1803"/>
      <c r="Q9" s="1789"/>
      <c r="R9" s="1805"/>
      <c r="S9" s="1791"/>
    </row>
    <row r="10" spans="1:20" ht="16.5" x14ac:dyDescent="0.3">
      <c r="A10" s="470" t="s">
        <v>227</v>
      </c>
      <c r="B10" s="483" t="s">
        <v>77</v>
      </c>
      <c r="C10" s="306" t="s">
        <v>77</v>
      </c>
      <c r="D10" s="479">
        <f>SUM(D21+B21)</f>
        <v>3351.7840000000006</v>
      </c>
      <c r="E10" s="478">
        <f>SUM(D10*10.7639104)</f>
        <v>36078.30265615361</v>
      </c>
      <c r="F10" s="2"/>
      <c r="G10" s="2"/>
      <c r="M10" s="499"/>
      <c r="N10" s="1794" t="s">
        <v>257</v>
      </c>
      <c r="O10" s="1794"/>
      <c r="P10" s="1795"/>
      <c r="Q10" s="1792">
        <f>R16</f>
        <v>25370.745999999999</v>
      </c>
      <c r="R10" s="1788">
        <f>B4</f>
        <v>342.6</v>
      </c>
      <c r="S10" s="1799">
        <f>SUM(R10-Q10)</f>
        <v>-25028.146000000001</v>
      </c>
    </row>
    <row r="11" spans="1:20" ht="17.25" thickBot="1" x14ac:dyDescent="0.35">
      <c r="A11" s="317" t="s">
        <v>228</v>
      </c>
      <c r="B11" s="485" t="s">
        <v>77</v>
      </c>
      <c r="C11" s="486" t="s">
        <v>77</v>
      </c>
      <c r="D11" s="476">
        <f>SUM(F24+H24)</f>
        <v>1523.67</v>
      </c>
      <c r="E11" s="482">
        <f>SUM(D11*10.7639104)</f>
        <v>16400.647359168001</v>
      </c>
      <c r="F11" s="2"/>
      <c r="G11" s="2"/>
      <c r="M11" s="499"/>
      <c r="N11" s="1796"/>
      <c r="O11" s="1796"/>
      <c r="P11" s="1797"/>
      <c r="Q11" s="1793"/>
      <c r="R11" s="1798"/>
      <c r="S11" s="1798"/>
    </row>
    <row r="12" spans="1:20" ht="17.25" thickBot="1" x14ac:dyDescent="0.35">
      <c r="A12" s="475" t="s">
        <v>52</v>
      </c>
      <c r="B12" s="490">
        <f>SUM(B3:B9)</f>
        <v>26019.749999999996</v>
      </c>
      <c r="C12" s="269">
        <f>SUM(C3:C9)</f>
        <v>280074.25763040007</v>
      </c>
      <c r="D12" s="504">
        <f>SUM(D10:D11)</f>
        <v>4875.4540000000006</v>
      </c>
      <c r="E12" s="269">
        <f>SUM(E10:E11)</f>
        <v>52478.950015321607</v>
      </c>
      <c r="F12" s="2"/>
      <c r="G12" s="2"/>
      <c r="M12" s="499"/>
      <c r="N12" s="1785" t="s">
        <v>264</v>
      </c>
      <c r="O12" s="1786"/>
      <c r="P12" s="1787"/>
      <c r="Q12" s="508">
        <f>SUM(Q8:Q11)</f>
        <v>25370.745999999999</v>
      </c>
      <c r="R12" s="509">
        <f>SUM(R8:R11)</f>
        <v>26019.749999999996</v>
      </c>
      <c r="S12" s="510">
        <f>SUM(S8:S11)</f>
        <v>649.00399999999718</v>
      </c>
      <c r="T12" s="503"/>
    </row>
    <row r="13" spans="1:20" ht="16.5" x14ac:dyDescent="0.3">
      <c r="A13" s="481"/>
      <c r="B13" s="487"/>
      <c r="C13" s="488"/>
      <c r="D13" s="489"/>
      <c r="E13" s="488"/>
      <c r="F13" s="2"/>
      <c r="G13" s="2"/>
    </row>
    <row r="14" spans="1:20" ht="17.25" thickBot="1" x14ac:dyDescent="0.35">
      <c r="A14" s="2"/>
      <c r="B14" s="2"/>
      <c r="C14" s="2"/>
      <c r="D14" s="2"/>
      <c r="E14" s="2"/>
      <c r="F14" s="2"/>
      <c r="G14" s="2"/>
      <c r="O14" s="496"/>
    </row>
    <row r="15" spans="1:20" ht="16.5" x14ac:dyDescent="0.3">
      <c r="A15" s="2"/>
      <c r="B15" s="2"/>
      <c r="C15" s="2"/>
      <c r="D15" s="2"/>
      <c r="E15" s="2"/>
      <c r="F15" s="2"/>
      <c r="G15" s="2"/>
      <c r="N15" s="511" t="s">
        <v>261</v>
      </c>
      <c r="O15" s="512"/>
      <c r="P15" s="512"/>
      <c r="Q15" s="515"/>
      <c r="R15" s="516">
        <f>SUM(B21+F24+H24+D21)</f>
        <v>4875.4540000000006</v>
      </c>
    </row>
    <row r="16" spans="1:20" ht="17.25" thickBot="1" x14ac:dyDescent="0.35">
      <c r="A16" s="1780" t="s">
        <v>227</v>
      </c>
      <c r="B16" s="1778" t="s">
        <v>231</v>
      </c>
      <c r="C16" s="1779"/>
      <c r="D16" s="1778" t="s">
        <v>230</v>
      </c>
      <c r="E16" s="1779"/>
      <c r="F16" s="2"/>
      <c r="G16" s="2"/>
      <c r="N16" s="519" t="s">
        <v>262</v>
      </c>
      <c r="O16" s="518"/>
      <c r="P16" s="517"/>
      <c r="Q16" s="514"/>
      <c r="R16" s="513">
        <f>P24-R15</f>
        <v>25370.745999999999</v>
      </c>
    </row>
    <row r="17" spans="1:18" ht="17.25" thickBot="1" x14ac:dyDescent="0.35">
      <c r="A17" s="1781"/>
      <c r="B17" s="480" t="s">
        <v>243</v>
      </c>
      <c r="C17" s="472" t="s">
        <v>242</v>
      </c>
      <c r="D17" s="480" t="s">
        <v>243</v>
      </c>
      <c r="E17" s="472" t="s">
        <v>242</v>
      </c>
      <c r="F17" s="2"/>
      <c r="G17" s="2"/>
    </row>
    <row r="18" spans="1:18" ht="16.5" x14ac:dyDescent="0.3">
      <c r="A18" s="470" t="s">
        <v>237</v>
      </c>
      <c r="B18" s="478">
        <f>B31</f>
        <v>15.587999999999999</v>
      </c>
      <c r="C18" s="369">
        <f>SUM(B18*10.7639104)</f>
        <v>167.7878353152</v>
      </c>
      <c r="D18" s="478">
        <f>D31</f>
        <v>483.29600000000005</v>
      </c>
      <c r="E18" s="470">
        <f>SUM(D18*10.7639104)</f>
        <v>5202.1548406784004</v>
      </c>
      <c r="F18" s="2"/>
      <c r="G18" s="2"/>
      <c r="R18" s="521"/>
    </row>
    <row r="19" spans="1:18" ht="15.75" thickBot="1" x14ac:dyDescent="0.3">
      <c r="A19" s="470" t="s">
        <v>238</v>
      </c>
      <c r="B19" s="477">
        <v>1943.41</v>
      </c>
      <c r="C19" s="369">
        <f>SUM(B19*10.7639104)</f>
        <v>20918.691110464002</v>
      </c>
      <c r="D19" s="477" t="s">
        <v>77</v>
      </c>
      <c r="E19" s="470" t="s">
        <v>77</v>
      </c>
      <c r="F19" s="1778" t="s">
        <v>240</v>
      </c>
      <c r="G19" s="1779"/>
      <c r="H19" s="1778" t="s">
        <v>241</v>
      </c>
      <c r="I19" s="1778"/>
    </row>
    <row r="20" spans="1:18" ht="15.75" thickBot="1" x14ac:dyDescent="0.3">
      <c r="A20" s="317" t="s">
        <v>239</v>
      </c>
      <c r="B20" s="476">
        <v>909.49</v>
      </c>
      <c r="C20" s="378">
        <f>SUM(B20*10.7639104)</f>
        <v>9789.6688696960009</v>
      </c>
      <c r="D20" s="476" t="s">
        <v>77</v>
      </c>
      <c r="E20" s="317" t="s">
        <v>77</v>
      </c>
      <c r="F20" s="480" t="s">
        <v>243</v>
      </c>
      <c r="G20" s="472" t="s">
        <v>242</v>
      </c>
      <c r="H20" s="480" t="s">
        <v>243</v>
      </c>
      <c r="I20" s="480" t="s">
        <v>242</v>
      </c>
    </row>
    <row r="21" spans="1:18" ht="16.5" x14ac:dyDescent="0.25">
      <c r="A21" s="475" t="s">
        <v>52</v>
      </c>
      <c r="B21" s="217">
        <f>SUM(B18:B20)</f>
        <v>2868.4880000000003</v>
      </c>
      <c r="C21" s="484">
        <f t="shared" ref="C21:I24" si="1">SUM(C18:C20)</f>
        <v>30876.147815475204</v>
      </c>
      <c r="D21" s="217">
        <f t="shared" si="1"/>
        <v>483.29600000000005</v>
      </c>
      <c r="E21" s="471">
        <f t="shared" si="1"/>
        <v>5202.1548406784004</v>
      </c>
      <c r="F21" s="477">
        <v>783.82</v>
      </c>
      <c r="G21" s="369">
        <f>SUM(F21*10.7639104)</f>
        <v>8436.968249728001</v>
      </c>
      <c r="H21" s="477">
        <v>739.85</v>
      </c>
      <c r="I21" s="478">
        <f>SUM(H21*10.7639104)</f>
        <v>7963.6791094400005</v>
      </c>
    </row>
    <row r="22" spans="1:18" x14ac:dyDescent="0.25">
      <c r="A22" s="217"/>
      <c r="B22" s="477"/>
      <c r="C22" s="478"/>
      <c r="D22" s="477"/>
      <c r="E22" s="477"/>
      <c r="F22" s="477" t="s">
        <v>77</v>
      </c>
      <c r="G22" s="470" t="s">
        <v>77</v>
      </c>
      <c r="H22" s="477" t="s">
        <v>77</v>
      </c>
      <c r="I22" s="477" t="s">
        <v>77</v>
      </c>
    </row>
    <row r="23" spans="1:18" ht="15.75" thickBot="1" x14ac:dyDescent="0.3">
      <c r="A23" s="217"/>
      <c r="B23" s="477"/>
      <c r="C23" s="478"/>
      <c r="D23" s="477"/>
      <c r="E23" s="477"/>
      <c r="F23" s="476" t="s">
        <v>77</v>
      </c>
      <c r="G23" s="317" t="s">
        <v>77</v>
      </c>
      <c r="H23" s="476" t="s">
        <v>77</v>
      </c>
      <c r="I23" s="476" t="s">
        <v>77</v>
      </c>
    </row>
    <row r="24" spans="1:18" ht="15.75" thickBot="1" x14ac:dyDescent="0.3">
      <c r="A24" s="477"/>
      <c r="B24" s="477"/>
      <c r="C24" s="477"/>
      <c r="D24" s="477"/>
      <c r="E24" s="477"/>
      <c r="F24" s="217">
        <f t="shared" si="1"/>
        <v>783.82</v>
      </c>
      <c r="G24" s="484">
        <f t="shared" si="1"/>
        <v>8436.968249728001</v>
      </c>
      <c r="H24" s="217">
        <f t="shared" si="1"/>
        <v>739.85</v>
      </c>
      <c r="I24" s="269">
        <f t="shared" si="1"/>
        <v>7963.6791094400005</v>
      </c>
      <c r="N24" s="1785" t="s">
        <v>263</v>
      </c>
      <c r="O24" s="1786"/>
      <c r="P24" s="507">
        <v>30246.2</v>
      </c>
    </row>
    <row r="25" spans="1:18" ht="15.75" thickBot="1" x14ac:dyDescent="0.3">
      <c r="A25" s="1783" t="s">
        <v>249</v>
      </c>
      <c r="B25" s="1778" t="s">
        <v>244</v>
      </c>
      <c r="C25" s="1781"/>
      <c r="D25" s="1778" t="s">
        <v>245</v>
      </c>
      <c r="E25" s="1778"/>
      <c r="F25" s="477"/>
      <c r="G25" s="478"/>
      <c r="H25" s="477"/>
      <c r="I25" s="478"/>
    </row>
    <row r="26" spans="1:18" ht="15.75" thickBot="1" x14ac:dyDescent="0.3">
      <c r="A26" s="1784"/>
      <c r="B26" s="480" t="s">
        <v>243</v>
      </c>
      <c r="C26" s="472" t="s">
        <v>242</v>
      </c>
      <c r="D26" s="480" t="s">
        <v>243</v>
      </c>
      <c r="E26" s="480" t="s">
        <v>242</v>
      </c>
      <c r="F26" s="477"/>
      <c r="G26" s="478"/>
      <c r="H26" s="477"/>
      <c r="I26" s="478"/>
      <c r="N26" t="s">
        <v>259</v>
      </c>
      <c r="R26">
        <f>SUM(B4)</f>
        <v>342.6</v>
      </c>
    </row>
    <row r="27" spans="1:18" x14ac:dyDescent="0.25">
      <c r="A27" s="470" t="s">
        <v>233</v>
      </c>
      <c r="B27" s="477" t="s">
        <v>77</v>
      </c>
      <c r="C27" s="470" t="s">
        <v>77</v>
      </c>
      <c r="D27" s="478">
        <v>349.36900000000003</v>
      </c>
      <c r="E27" s="478">
        <f>SUM(D27*10.7639104)</f>
        <v>3760.5766125376003</v>
      </c>
      <c r="F27" s="477"/>
      <c r="G27" s="477"/>
      <c r="H27" s="477"/>
      <c r="I27" s="477"/>
      <c r="N27" t="s">
        <v>258</v>
      </c>
      <c r="R27" s="505">
        <f>SUM(D10+D11)</f>
        <v>4875.4540000000006</v>
      </c>
    </row>
    <row r="28" spans="1:18" x14ac:dyDescent="0.25">
      <c r="A28" s="470" t="s">
        <v>235</v>
      </c>
      <c r="B28" s="477" t="s">
        <v>77</v>
      </c>
      <c r="C28" s="470" t="s">
        <v>77</v>
      </c>
      <c r="D28" s="478">
        <v>64.927000000000007</v>
      </c>
      <c r="E28" s="479">
        <f>SUM(D28*10.7639104)</f>
        <v>698.86841054080014</v>
      </c>
      <c r="F28" s="477"/>
      <c r="G28" s="477"/>
      <c r="H28" s="477"/>
      <c r="I28" s="477"/>
      <c r="N28" t="s">
        <v>260</v>
      </c>
      <c r="R28" s="506">
        <f>SUM(R26:R27)</f>
        <v>5218.054000000001</v>
      </c>
    </row>
    <row r="29" spans="1:18" x14ac:dyDescent="0.25">
      <c r="A29" s="470" t="s">
        <v>234</v>
      </c>
      <c r="B29" s="478">
        <v>15.587999999999999</v>
      </c>
      <c r="C29" s="369">
        <f>SUM(B29*10.7639104)</f>
        <v>167.7878353152</v>
      </c>
      <c r="D29" s="477" t="s">
        <v>77</v>
      </c>
      <c r="E29" s="477" t="s">
        <v>77</v>
      </c>
      <c r="F29" s="477"/>
      <c r="G29" s="477"/>
      <c r="H29" s="477"/>
      <c r="I29" s="477"/>
    </row>
    <row r="30" spans="1:18" ht="15.75" thickBot="1" x14ac:dyDescent="0.3">
      <c r="A30" s="317" t="s">
        <v>236</v>
      </c>
      <c r="B30" s="476" t="s">
        <v>77</v>
      </c>
      <c r="C30" s="317" t="s">
        <v>77</v>
      </c>
      <c r="D30" s="476">
        <v>69</v>
      </c>
      <c r="E30" s="482">
        <f>SUM(D30*10.7639104)</f>
        <v>742.70981760000006</v>
      </c>
      <c r="F30" s="477"/>
      <c r="G30" s="477"/>
      <c r="H30" s="477"/>
      <c r="I30" s="477"/>
    </row>
    <row r="31" spans="1:18" ht="16.5" x14ac:dyDescent="0.25">
      <c r="A31" s="491" t="s">
        <v>52</v>
      </c>
      <c r="B31" s="269">
        <f>SUM(B27:B30)</f>
        <v>15.587999999999999</v>
      </c>
      <c r="C31" s="269">
        <f>SUM(C27:C30)</f>
        <v>167.7878353152</v>
      </c>
      <c r="D31" s="269">
        <f>SUM(D27:D30)</f>
        <v>483.29600000000005</v>
      </c>
      <c r="E31" s="269">
        <f>SUM(E27:E30)</f>
        <v>5202.1548406784004</v>
      </c>
      <c r="F31" s="477"/>
      <c r="G31" s="477"/>
      <c r="H31" s="477"/>
      <c r="I31" s="477"/>
    </row>
    <row r="32" spans="1:18" ht="16.5" x14ac:dyDescent="0.3">
      <c r="A32" s="2"/>
      <c r="B32" s="2"/>
      <c r="C32" s="2"/>
      <c r="D32" s="477"/>
      <c r="E32" s="477"/>
      <c r="F32" s="477"/>
      <c r="G32" s="477"/>
      <c r="H32" s="477"/>
      <c r="I32" s="477"/>
    </row>
    <row r="33" spans="1:9" ht="16.5" x14ac:dyDescent="0.3">
      <c r="A33" s="2"/>
      <c r="B33" s="2"/>
      <c r="C33" s="2"/>
      <c r="D33" s="2"/>
      <c r="E33" s="2"/>
      <c r="F33" s="477"/>
      <c r="G33" s="477"/>
      <c r="H33" s="477"/>
      <c r="I33" s="477"/>
    </row>
    <row r="34" spans="1:9" ht="17.25" thickBot="1" x14ac:dyDescent="0.35">
      <c r="A34" s="1780" t="s">
        <v>246</v>
      </c>
      <c r="B34" s="1778" t="s">
        <v>244</v>
      </c>
      <c r="C34" s="1781"/>
      <c r="D34" s="1778" t="s">
        <v>245</v>
      </c>
      <c r="E34" s="1778"/>
      <c r="F34" s="2"/>
      <c r="G34" s="2"/>
    </row>
    <row r="35" spans="1:9" ht="17.25" thickBot="1" x14ac:dyDescent="0.35">
      <c r="A35" s="1779"/>
      <c r="B35" s="480" t="s">
        <v>243</v>
      </c>
      <c r="C35" s="472" t="s">
        <v>242</v>
      </c>
      <c r="D35" s="480" t="s">
        <v>243</v>
      </c>
      <c r="E35" s="480" t="s">
        <v>242</v>
      </c>
      <c r="F35" s="2"/>
      <c r="G35" s="2"/>
    </row>
    <row r="36" spans="1:9" ht="16.5" x14ac:dyDescent="0.3">
      <c r="A36" s="470" t="s">
        <v>237</v>
      </c>
      <c r="B36" s="478">
        <v>2855.8</v>
      </c>
      <c r="C36" s="492">
        <f>SUM(B36*10.7639104)</f>
        <v>30739.575320320004</v>
      </c>
      <c r="D36" s="478">
        <v>237.63800000000001</v>
      </c>
      <c r="E36" s="478">
        <f>SUM(D36*10.7639104)</f>
        <v>2557.9141396352002</v>
      </c>
      <c r="F36" s="2"/>
      <c r="G36" s="2"/>
    </row>
    <row r="37" spans="1:9" ht="17.25" x14ac:dyDescent="0.35">
      <c r="A37" s="470" t="s">
        <v>247</v>
      </c>
      <c r="B37" s="477">
        <v>2809.96</v>
      </c>
      <c r="C37" s="369">
        <f t="shared" ref="C37:C39" si="2">SUM(B37*10.7639104)</f>
        <v>30246.157667584001</v>
      </c>
      <c r="D37" s="477" t="s">
        <v>77</v>
      </c>
      <c r="E37" s="478" t="s">
        <v>77</v>
      </c>
      <c r="F37" s="284"/>
      <c r="G37" s="2"/>
    </row>
    <row r="38" spans="1:9" ht="17.25" x14ac:dyDescent="0.35">
      <c r="A38" s="470" t="s">
        <v>142</v>
      </c>
      <c r="B38" s="477">
        <v>3071.05</v>
      </c>
      <c r="C38" s="369">
        <f t="shared" si="2"/>
        <v>33056.507033920003</v>
      </c>
      <c r="D38" s="477" t="s">
        <v>77</v>
      </c>
      <c r="E38" s="478" t="s">
        <v>77</v>
      </c>
      <c r="F38" s="284"/>
      <c r="G38" s="2"/>
    </row>
    <row r="39" spans="1:9" ht="17.25" x14ac:dyDescent="0.35">
      <c r="A39" s="470" t="s">
        <v>248</v>
      </c>
      <c r="B39" s="477">
        <v>3035.99</v>
      </c>
      <c r="C39" s="369">
        <f t="shared" si="2"/>
        <v>32679.124335295997</v>
      </c>
      <c r="D39" s="477" t="s">
        <v>77</v>
      </c>
      <c r="E39" s="478" t="s">
        <v>77</v>
      </c>
      <c r="F39" s="284"/>
      <c r="G39" s="33"/>
    </row>
    <row r="40" spans="1:9" ht="18" thickBot="1" x14ac:dyDescent="0.4">
      <c r="A40" s="317" t="s">
        <v>144</v>
      </c>
      <c r="B40" s="476" t="s">
        <v>77</v>
      </c>
      <c r="C40" s="317" t="s">
        <v>77</v>
      </c>
      <c r="D40" s="476">
        <v>2723.0590000000002</v>
      </c>
      <c r="E40" s="482">
        <f t="shared" ref="E40" si="3">SUM(D40*10.7639104)</f>
        <v>29310.763089913602</v>
      </c>
      <c r="F40" s="284"/>
      <c r="G40" s="2"/>
    </row>
    <row r="41" spans="1:9" ht="17.25" x14ac:dyDescent="0.35">
      <c r="A41" s="475" t="s">
        <v>52</v>
      </c>
      <c r="B41" s="269">
        <f>SUM(B36:B40)</f>
        <v>11772.800000000001</v>
      </c>
      <c r="C41" s="493">
        <f>SUM(C36:C40)</f>
        <v>126721.36435712001</v>
      </c>
      <c r="D41" s="269">
        <f t="shared" ref="D41:E41" si="4">SUM(D36:D40)</f>
        <v>2960.6970000000001</v>
      </c>
      <c r="E41" s="269">
        <f t="shared" si="4"/>
        <v>31868.677229548801</v>
      </c>
      <c r="F41" s="284"/>
      <c r="G41" s="2"/>
    </row>
    <row r="42" spans="1:9" ht="17.25" x14ac:dyDescent="0.35">
      <c r="A42" s="2"/>
      <c r="B42" s="2"/>
      <c r="C42" s="2"/>
      <c r="D42" s="2"/>
      <c r="E42" s="2"/>
      <c r="F42" s="284"/>
      <c r="G42" s="2"/>
    </row>
    <row r="43" spans="1:9" ht="17.25" x14ac:dyDescent="0.35">
      <c r="A43" s="2"/>
      <c r="B43" s="2"/>
      <c r="C43" s="2"/>
      <c r="D43" s="2"/>
      <c r="E43" s="2"/>
      <c r="F43" s="284"/>
      <c r="G43" s="2"/>
    </row>
    <row r="44" spans="1:9" ht="17.25" x14ac:dyDescent="0.35">
      <c r="F44" s="284"/>
      <c r="G44" s="2"/>
    </row>
    <row r="45" spans="1:9" ht="16.5" x14ac:dyDescent="0.3">
      <c r="F45" s="2"/>
      <c r="G45" s="2"/>
    </row>
    <row r="46" spans="1:9" ht="16.5" x14ac:dyDescent="0.3">
      <c r="F46" s="2"/>
      <c r="G46" s="2"/>
    </row>
  </sheetData>
  <mergeCells count="24">
    <mergeCell ref="N24:O24"/>
    <mergeCell ref="N12:P12"/>
    <mergeCell ref="Q8:Q9"/>
    <mergeCell ref="S8:S9"/>
    <mergeCell ref="Q10:Q11"/>
    <mergeCell ref="N10:P11"/>
    <mergeCell ref="R10:R11"/>
    <mergeCell ref="S10:S11"/>
    <mergeCell ref="N8:P9"/>
    <mergeCell ref="R8:R9"/>
    <mergeCell ref="A1:A2"/>
    <mergeCell ref="B1:C1"/>
    <mergeCell ref="D1:E1"/>
    <mergeCell ref="A34:A35"/>
    <mergeCell ref="B34:C34"/>
    <mergeCell ref="D34:E34"/>
    <mergeCell ref="A25:A26"/>
    <mergeCell ref="B16:C16"/>
    <mergeCell ref="D16:E16"/>
    <mergeCell ref="F19:G19"/>
    <mergeCell ref="H19:I19"/>
    <mergeCell ref="A16:A17"/>
    <mergeCell ref="B25:C25"/>
    <mergeCell ref="D25:E2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B2EFC-6537-492A-926B-4D868413C443}">
  <sheetPr>
    <pageSetUpPr fitToPage="1"/>
  </sheetPr>
  <dimension ref="B1:M26"/>
  <sheetViews>
    <sheetView zoomScale="55" zoomScaleNormal="55" workbookViewId="0">
      <selection activeCell="T20" sqref="T20"/>
    </sheetView>
  </sheetViews>
  <sheetFormatPr defaultRowHeight="15" x14ac:dyDescent="0.25"/>
  <cols>
    <col min="1" max="2" width="9.140625" customWidth="1"/>
    <col min="3" max="3" width="25.7109375" customWidth="1"/>
    <col min="4" max="8" width="14.7109375" customWidth="1"/>
    <col min="9" max="9" width="38.28515625" customWidth="1"/>
    <col min="10" max="10" width="30.7109375" customWidth="1"/>
    <col min="11" max="12" width="14.7109375" customWidth="1"/>
    <col min="13" max="13" width="15.7109375" customWidth="1"/>
    <col min="14" max="22" width="14.7109375" customWidth="1"/>
  </cols>
  <sheetData>
    <row r="1" spans="3:13" ht="15" customHeight="1" x14ac:dyDescent="0.25"/>
    <row r="2" spans="3:13" ht="15" customHeight="1" thickBot="1" x14ac:dyDescent="0.3"/>
    <row r="3" spans="3:13" ht="15.75" customHeight="1" x14ac:dyDescent="0.25">
      <c r="C3" s="1730"/>
      <c r="D3" s="1809" t="s">
        <v>92</v>
      </c>
      <c r="E3" s="1810"/>
      <c r="F3" s="1810"/>
      <c r="G3" s="1810"/>
      <c r="H3" s="1810"/>
      <c r="I3" s="1810"/>
      <c r="J3" s="1810"/>
      <c r="K3" s="1810"/>
      <c r="L3" s="1810"/>
      <c r="M3" s="1811"/>
    </row>
    <row r="4" spans="3:13" ht="21" customHeight="1" x14ac:dyDescent="0.25">
      <c r="C4" s="1731"/>
      <c r="D4" s="1812"/>
      <c r="E4" s="1813"/>
      <c r="F4" s="1813"/>
      <c r="G4" s="1813"/>
      <c r="H4" s="1813"/>
      <c r="I4" s="1813"/>
      <c r="J4" s="1813"/>
      <c r="K4" s="1813"/>
      <c r="L4" s="1813"/>
      <c r="M4" s="1814"/>
    </row>
    <row r="5" spans="3:13" ht="15.75" customHeight="1" x14ac:dyDescent="0.25">
      <c r="C5" s="1731"/>
      <c r="D5" s="1815" t="s">
        <v>43</v>
      </c>
      <c r="E5" s="1816"/>
      <c r="F5" s="1816"/>
      <c r="G5" s="1816"/>
      <c r="H5" s="1816"/>
      <c r="I5" s="1816"/>
      <c r="J5" s="1816"/>
      <c r="K5" s="1816"/>
      <c r="L5" s="1816"/>
      <c r="M5" s="1817"/>
    </row>
    <row r="6" spans="3:13" ht="15.75" customHeight="1" thickBot="1" x14ac:dyDescent="0.3">
      <c r="C6" s="1732"/>
      <c r="D6" s="551" t="s">
        <v>19</v>
      </c>
      <c r="E6" s="552" t="s">
        <v>44</v>
      </c>
      <c r="F6" s="552" t="s">
        <v>20</v>
      </c>
      <c r="G6" s="529" t="s">
        <v>21</v>
      </c>
      <c r="H6" s="553" t="s">
        <v>273</v>
      </c>
      <c r="I6" s="552" t="s">
        <v>311</v>
      </c>
      <c r="J6" s="552" t="s">
        <v>312</v>
      </c>
      <c r="K6" s="529" t="s">
        <v>272</v>
      </c>
      <c r="L6" s="554" t="s">
        <v>26</v>
      </c>
      <c r="M6" s="530" t="s">
        <v>271</v>
      </c>
    </row>
    <row r="7" spans="3:13" ht="17.25" thickTop="1" x14ac:dyDescent="0.35">
      <c r="C7" s="532" t="s">
        <v>293</v>
      </c>
      <c r="D7" s="533"/>
      <c r="E7" s="534"/>
      <c r="F7" s="534"/>
      <c r="G7" s="534"/>
      <c r="H7" s="534"/>
      <c r="I7" s="534"/>
      <c r="J7" s="534"/>
      <c r="K7" s="534"/>
      <c r="L7" s="535"/>
      <c r="M7" s="536"/>
    </row>
    <row r="8" spans="3:13" ht="16.5" x14ac:dyDescent="0.25">
      <c r="C8" s="555" t="s">
        <v>274</v>
      </c>
      <c r="D8" s="537">
        <v>19.600000000000001</v>
      </c>
      <c r="E8" s="538">
        <v>30.9</v>
      </c>
      <c r="F8" s="538">
        <v>28.9</v>
      </c>
      <c r="G8" s="538">
        <v>0.7</v>
      </c>
      <c r="H8" s="538">
        <v>121.9</v>
      </c>
      <c r="I8" s="538">
        <v>32.799999999999997</v>
      </c>
      <c r="J8" s="538" t="s">
        <v>77</v>
      </c>
      <c r="K8" s="538" t="s">
        <v>77</v>
      </c>
      <c r="L8" s="539" t="s">
        <v>77</v>
      </c>
      <c r="M8" s="540">
        <f>SUM(D8:L8)</f>
        <v>234.8</v>
      </c>
    </row>
    <row r="9" spans="3:13" ht="16.5" x14ac:dyDescent="0.25">
      <c r="C9" s="556" t="s">
        <v>275</v>
      </c>
      <c r="D9" s="541">
        <v>30.6</v>
      </c>
      <c r="E9" s="542">
        <v>5.6</v>
      </c>
      <c r="F9" s="542">
        <v>23.4</v>
      </c>
      <c r="G9" s="542">
        <v>9.9</v>
      </c>
      <c r="H9" s="542">
        <v>13.8</v>
      </c>
      <c r="I9" s="542">
        <v>21.6</v>
      </c>
      <c r="J9" s="542">
        <v>1.1000000000000001</v>
      </c>
      <c r="K9" s="542" t="s">
        <v>77</v>
      </c>
      <c r="L9" s="549">
        <v>51.9</v>
      </c>
      <c r="M9" s="550">
        <f t="shared" ref="M9:M25" si="0">SUM(D9:L9)</f>
        <v>157.9</v>
      </c>
    </row>
    <row r="10" spans="3:13" ht="16.5" x14ac:dyDescent="0.25">
      <c r="C10" s="556" t="s">
        <v>276</v>
      </c>
      <c r="D10" s="541" t="s">
        <v>77</v>
      </c>
      <c r="E10" s="542" t="s">
        <v>77</v>
      </c>
      <c r="F10" s="542" t="s">
        <v>77</v>
      </c>
      <c r="G10" s="542">
        <v>12.6</v>
      </c>
      <c r="H10" s="542" t="s">
        <v>77</v>
      </c>
      <c r="I10" s="542">
        <v>7</v>
      </c>
      <c r="J10" s="542" t="s">
        <v>77</v>
      </c>
      <c r="K10" s="542" t="s">
        <v>77</v>
      </c>
      <c r="L10" s="543" t="s">
        <v>77</v>
      </c>
      <c r="M10" s="540">
        <f t="shared" si="0"/>
        <v>19.600000000000001</v>
      </c>
    </row>
    <row r="11" spans="3:13" ht="16.5" x14ac:dyDescent="0.25">
      <c r="C11" s="556" t="s">
        <v>277</v>
      </c>
      <c r="D11" s="541">
        <v>2</v>
      </c>
      <c r="E11" s="542" t="s">
        <v>77</v>
      </c>
      <c r="F11" s="542">
        <v>3.1</v>
      </c>
      <c r="G11" s="542">
        <v>6.3</v>
      </c>
      <c r="H11" s="542" t="s">
        <v>77</v>
      </c>
      <c r="I11" s="542" t="s">
        <v>77</v>
      </c>
      <c r="J11" s="542" t="s">
        <v>77</v>
      </c>
      <c r="K11" s="542" t="s">
        <v>77</v>
      </c>
      <c r="L11" s="543" t="s">
        <v>77</v>
      </c>
      <c r="M11" s="540">
        <f t="shared" si="0"/>
        <v>11.399999999999999</v>
      </c>
    </row>
    <row r="12" spans="3:13" ht="16.5" x14ac:dyDescent="0.25">
      <c r="C12" s="556" t="s">
        <v>278</v>
      </c>
      <c r="D12" s="541" t="s">
        <v>77</v>
      </c>
      <c r="E12" s="542">
        <v>21.4</v>
      </c>
      <c r="F12" s="542" t="s">
        <v>77</v>
      </c>
      <c r="G12" s="542" t="s">
        <v>77</v>
      </c>
      <c r="H12" s="542" t="s">
        <v>77</v>
      </c>
      <c r="I12" s="542">
        <v>31.5</v>
      </c>
      <c r="J12" s="542" t="s">
        <v>77</v>
      </c>
      <c r="K12" s="542" t="s">
        <v>77</v>
      </c>
      <c r="L12" s="543" t="s">
        <v>77</v>
      </c>
      <c r="M12" s="540">
        <f t="shared" si="0"/>
        <v>52.9</v>
      </c>
    </row>
    <row r="13" spans="3:13" ht="16.5" x14ac:dyDescent="0.25">
      <c r="C13" s="556" t="s">
        <v>279</v>
      </c>
      <c r="D13" s="541" t="s">
        <v>77</v>
      </c>
      <c r="E13" s="542" t="s">
        <v>77</v>
      </c>
      <c r="F13" s="542" t="s">
        <v>77</v>
      </c>
      <c r="G13" s="542" t="s">
        <v>77</v>
      </c>
      <c r="H13" s="542">
        <v>7.7</v>
      </c>
      <c r="I13" s="542">
        <v>3.2</v>
      </c>
      <c r="J13" s="542" t="s">
        <v>77</v>
      </c>
      <c r="K13" s="542" t="s">
        <v>77</v>
      </c>
      <c r="L13" s="543">
        <v>5</v>
      </c>
      <c r="M13" s="540">
        <f t="shared" si="0"/>
        <v>15.9</v>
      </c>
    </row>
    <row r="14" spans="3:13" ht="16.5" x14ac:dyDescent="0.25">
      <c r="C14" s="556" t="s">
        <v>280</v>
      </c>
      <c r="D14" s="541" t="s">
        <v>77</v>
      </c>
      <c r="E14" s="542">
        <v>14.7</v>
      </c>
      <c r="F14" s="542">
        <v>4</v>
      </c>
      <c r="G14" s="542">
        <v>11.6</v>
      </c>
      <c r="H14" s="542" t="s">
        <v>77</v>
      </c>
      <c r="I14" s="542">
        <v>45.2</v>
      </c>
      <c r="J14" s="542">
        <v>43.6</v>
      </c>
      <c r="K14" s="542">
        <v>5.2</v>
      </c>
      <c r="L14" s="543" t="s">
        <v>77</v>
      </c>
      <c r="M14" s="540">
        <f t="shared" si="0"/>
        <v>124.3</v>
      </c>
    </row>
    <row r="15" spans="3:13" ht="16.5" x14ac:dyDescent="0.25">
      <c r="C15" s="556" t="s">
        <v>281</v>
      </c>
      <c r="D15" s="541" t="s">
        <v>77</v>
      </c>
      <c r="E15" s="542">
        <v>23.7</v>
      </c>
      <c r="F15" s="542">
        <v>1.3</v>
      </c>
      <c r="G15" s="542">
        <v>2.6</v>
      </c>
      <c r="H15" s="542" t="s">
        <v>77</v>
      </c>
      <c r="I15" s="542">
        <v>100.4</v>
      </c>
      <c r="J15" s="542">
        <v>423.6</v>
      </c>
      <c r="K15" s="542">
        <v>116.8</v>
      </c>
      <c r="L15" s="543">
        <v>171.8</v>
      </c>
      <c r="M15" s="540">
        <f t="shared" si="0"/>
        <v>840.2</v>
      </c>
    </row>
    <row r="16" spans="3:13" ht="16.5" x14ac:dyDescent="0.25">
      <c r="C16" s="556" t="s">
        <v>282</v>
      </c>
      <c r="D16" s="541">
        <v>8.5</v>
      </c>
      <c r="E16" s="542" t="s">
        <v>77</v>
      </c>
      <c r="F16" s="542">
        <v>6.7</v>
      </c>
      <c r="G16" s="542">
        <v>13.6</v>
      </c>
      <c r="H16" s="542" t="s">
        <v>77</v>
      </c>
      <c r="I16" s="542">
        <v>47.6</v>
      </c>
      <c r="J16" s="542" t="s">
        <v>77</v>
      </c>
      <c r="K16" s="542">
        <v>9.8000000000000007</v>
      </c>
      <c r="L16" s="543" t="s">
        <v>77</v>
      </c>
      <c r="M16" s="540">
        <f t="shared" si="0"/>
        <v>86.2</v>
      </c>
    </row>
    <row r="17" spans="2:13" ht="16.5" x14ac:dyDescent="0.25">
      <c r="C17" s="556" t="s">
        <v>283</v>
      </c>
      <c r="D17" s="541" t="s">
        <v>77</v>
      </c>
      <c r="E17" s="542" t="s">
        <v>77</v>
      </c>
      <c r="F17" s="542" t="s">
        <v>77</v>
      </c>
      <c r="G17" s="542">
        <v>7.3</v>
      </c>
      <c r="H17" s="542" t="s">
        <v>77</v>
      </c>
      <c r="I17" s="542">
        <v>2.7</v>
      </c>
      <c r="J17" s="542" t="s">
        <v>77</v>
      </c>
      <c r="K17" s="542">
        <v>1.3</v>
      </c>
      <c r="L17" s="543" t="s">
        <v>77</v>
      </c>
      <c r="M17" s="540">
        <f t="shared" si="0"/>
        <v>11.3</v>
      </c>
    </row>
    <row r="18" spans="2:13" ht="16.5" x14ac:dyDescent="0.25">
      <c r="C18" s="556" t="s">
        <v>284</v>
      </c>
      <c r="D18" s="541" t="s">
        <v>77</v>
      </c>
      <c r="E18" s="542" t="s">
        <v>77</v>
      </c>
      <c r="F18" s="542">
        <v>25.5</v>
      </c>
      <c r="G18" s="542">
        <v>11.2</v>
      </c>
      <c r="H18" s="542" t="s">
        <v>77</v>
      </c>
      <c r="I18" s="542">
        <v>63.5</v>
      </c>
      <c r="J18" s="542" t="s">
        <v>77</v>
      </c>
      <c r="K18" s="542">
        <v>37.5</v>
      </c>
      <c r="L18" s="543" t="s">
        <v>77</v>
      </c>
      <c r="M18" s="540">
        <f t="shared" si="0"/>
        <v>137.69999999999999</v>
      </c>
    </row>
    <row r="19" spans="2:13" ht="16.5" customHeight="1" x14ac:dyDescent="0.25">
      <c r="B19" s="528"/>
      <c r="C19" s="556" t="s">
        <v>285</v>
      </c>
      <c r="D19" s="541" t="s">
        <v>77</v>
      </c>
      <c r="E19" s="542" t="s">
        <v>77</v>
      </c>
      <c r="F19" s="542">
        <v>6.2</v>
      </c>
      <c r="G19" s="542" t="s">
        <v>77</v>
      </c>
      <c r="H19" s="542" t="s">
        <v>77</v>
      </c>
      <c r="I19" s="542" t="s">
        <v>77</v>
      </c>
      <c r="J19" s="542" t="s">
        <v>77</v>
      </c>
      <c r="K19" s="542" t="s">
        <v>77</v>
      </c>
      <c r="L19" s="543">
        <v>6.6</v>
      </c>
      <c r="M19" s="540">
        <f t="shared" ref="M19" si="1">SUM(D19:L19)</f>
        <v>12.8</v>
      </c>
    </row>
    <row r="20" spans="2:13" ht="16.5" customHeight="1" x14ac:dyDescent="0.25">
      <c r="B20" s="528"/>
      <c r="C20" s="556" t="s">
        <v>286</v>
      </c>
      <c r="D20" s="541" t="s">
        <v>77</v>
      </c>
      <c r="E20" s="542" t="s">
        <v>77</v>
      </c>
      <c r="F20" s="542" t="s">
        <v>77</v>
      </c>
      <c r="G20" s="542" t="s">
        <v>77</v>
      </c>
      <c r="H20" s="542" t="s">
        <v>77</v>
      </c>
      <c r="I20" s="542" t="s">
        <v>77</v>
      </c>
      <c r="J20" s="542" t="s">
        <v>77</v>
      </c>
      <c r="K20" s="542" t="s">
        <v>77</v>
      </c>
      <c r="L20" s="543" t="s">
        <v>77</v>
      </c>
      <c r="M20" s="540">
        <f t="shared" si="0"/>
        <v>0</v>
      </c>
    </row>
    <row r="21" spans="2:13" ht="16.5" x14ac:dyDescent="0.25">
      <c r="B21" s="528"/>
      <c r="C21" s="556" t="s">
        <v>287</v>
      </c>
      <c r="D21" s="541" t="s">
        <v>77</v>
      </c>
      <c r="E21" s="542" t="s">
        <v>77</v>
      </c>
      <c r="F21" s="542" t="s">
        <v>77</v>
      </c>
      <c r="G21" s="542">
        <v>11.8</v>
      </c>
      <c r="H21" s="542" t="s">
        <v>77</v>
      </c>
      <c r="I21" s="542" t="s">
        <v>77</v>
      </c>
      <c r="J21" s="542" t="s">
        <v>77</v>
      </c>
      <c r="K21" s="542" t="s">
        <v>77</v>
      </c>
      <c r="L21" s="543" t="s">
        <v>77</v>
      </c>
      <c r="M21" s="540">
        <f t="shared" si="0"/>
        <v>11.8</v>
      </c>
    </row>
    <row r="22" spans="2:13" ht="16.5" customHeight="1" x14ac:dyDescent="0.25">
      <c r="B22" s="528"/>
      <c r="C22" s="556" t="s">
        <v>288</v>
      </c>
      <c r="D22" s="541" t="s">
        <v>77</v>
      </c>
      <c r="E22" s="542" t="s">
        <v>77</v>
      </c>
      <c r="F22" s="542" t="s">
        <v>77</v>
      </c>
      <c r="G22" s="542" t="s">
        <v>77</v>
      </c>
      <c r="H22" s="542" t="s">
        <v>77</v>
      </c>
      <c r="I22" s="542">
        <v>11.9</v>
      </c>
      <c r="J22" s="542" t="s">
        <v>77</v>
      </c>
      <c r="K22" s="542" t="s">
        <v>77</v>
      </c>
      <c r="L22" s="543" t="s">
        <v>77</v>
      </c>
      <c r="M22" s="540">
        <f t="shared" si="0"/>
        <v>11.9</v>
      </c>
    </row>
    <row r="23" spans="2:13" ht="16.5" x14ac:dyDescent="0.25">
      <c r="B23" s="528"/>
      <c r="C23" s="556" t="s">
        <v>289</v>
      </c>
      <c r="D23" s="541" t="s">
        <v>77</v>
      </c>
      <c r="E23" s="542" t="s">
        <v>77</v>
      </c>
      <c r="F23" s="542" t="s">
        <v>77</v>
      </c>
      <c r="G23" s="542" t="s">
        <v>77</v>
      </c>
      <c r="H23" s="542" t="s">
        <v>77</v>
      </c>
      <c r="I23" s="542">
        <v>27.2</v>
      </c>
      <c r="J23" s="542" t="s">
        <v>77</v>
      </c>
      <c r="K23" s="542" t="s">
        <v>77</v>
      </c>
      <c r="L23" s="543">
        <v>43.2</v>
      </c>
      <c r="M23" s="540">
        <f t="shared" si="0"/>
        <v>70.400000000000006</v>
      </c>
    </row>
    <row r="24" spans="2:13" ht="16.5" x14ac:dyDescent="0.25">
      <c r="B24" s="528"/>
      <c r="C24" s="556" t="s">
        <v>290</v>
      </c>
      <c r="D24" s="541" t="s">
        <v>77</v>
      </c>
      <c r="E24" s="542" t="s">
        <v>77</v>
      </c>
      <c r="F24" s="542" t="s">
        <v>77</v>
      </c>
      <c r="G24" s="542" t="s">
        <v>77</v>
      </c>
      <c r="H24" s="542" t="s">
        <v>77</v>
      </c>
      <c r="I24" s="542">
        <v>14.4</v>
      </c>
      <c r="J24" s="542" t="s">
        <v>77</v>
      </c>
      <c r="K24" s="542" t="s">
        <v>77</v>
      </c>
      <c r="L24" s="543" t="s">
        <v>77</v>
      </c>
      <c r="M24" s="540">
        <f t="shared" si="0"/>
        <v>14.4</v>
      </c>
    </row>
    <row r="25" spans="2:13" ht="16.5" x14ac:dyDescent="0.25">
      <c r="B25" s="528"/>
      <c r="C25" s="563" t="s">
        <v>291</v>
      </c>
      <c r="D25" s="544" t="s">
        <v>77</v>
      </c>
      <c r="E25" s="545">
        <v>7.3</v>
      </c>
      <c r="F25" s="545" t="s">
        <v>77</v>
      </c>
      <c r="G25" s="545" t="s">
        <v>77</v>
      </c>
      <c r="H25" s="545" t="s">
        <v>77</v>
      </c>
      <c r="I25" s="545">
        <v>17.600000000000001</v>
      </c>
      <c r="J25" s="545" t="s">
        <v>77</v>
      </c>
      <c r="K25" s="545" t="s">
        <v>77</v>
      </c>
      <c r="L25" s="546" t="s">
        <v>77</v>
      </c>
      <c r="M25" s="548">
        <f t="shared" si="0"/>
        <v>24.900000000000002</v>
      </c>
    </row>
    <row r="26" spans="2:13" ht="15.75" thickBot="1" x14ac:dyDescent="0.3">
      <c r="B26" s="528"/>
      <c r="C26" s="1806"/>
      <c r="D26" s="1807"/>
      <c r="E26" s="1807"/>
      <c r="F26" s="1807"/>
      <c r="G26" s="1807"/>
      <c r="H26" s="1807"/>
      <c r="I26" s="1807"/>
      <c r="J26" s="1807"/>
      <c r="K26" s="1807"/>
      <c r="L26" s="1808"/>
      <c r="M26" s="547">
        <f>SUM(M8:M25)</f>
        <v>1838.4000000000003</v>
      </c>
    </row>
  </sheetData>
  <mergeCells count="4">
    <mergeCell ref="C26:L26"/>
    <mergeCell ref="D3:M4"/>
    <mergeCell ref="D5:M5"/>
    <mergeCell ref="C3:C6"/>
  </mergeCells>
  <pageMargins left="0.7" right="0.7" top="0.75" bottom="0.75" header="0.3" footer="0.3"/>
  <pageSetup paperSize="66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51353-AE61-4C98-945E-9430B7F796C0}">
  <sheetPr>
    <pageSetUpPr fitToPage="1"/>
  </sheetPr>
  <dimension ref="C1:M27"/>
  <sheetViews>
    <sheetView zoomScale="85" zoomScaleNormal="85" workbookViewId="0">
      <selection activeCell="J34" sqref="J34"/>
    </sheetView>
  </sheetViews>
  <sheetFormatPr defaultRowHeight="15" x14ac:dyDescent="0.25"/>
  <cols>
    <col min="1" max="2" width="9.140625" customWidth="1"/>
    <col min="3" max="3" width="25.7109375" customWidth="1"/>
    <col min="4" max="8" width="14.7109375" customWidth="1"/>
    <col min="9" max="9" width="38.28515625" customWidth="1"/>
    <col min="10" max="10" width="30.7109375" customWidth="1"/>
    <col min="11" max="14" width="14.7109375" customWidth="1"/>
    <col min="15" max="15" width="20.7109375" customWidth="1"/>
    <col min="16" max="19" width="15.7109375" customWidth="1"/>
    <col min="20" max="22" width="14.7109375" customWidth="1"/>
  </cols>
  <sheetData>
    <row r="1" spans="3:13" ht="15" customHeight="1" x14ac:dyDescent="0.25"/>
    <row r="2" spans="3:13" ht="15" customHeight="1" thickBot="1" x14ac:dyDescent="0.3"/>
    <row r="3" spans="3:13" ht="15.75" customHeight="1" x14ac:dyDescent="0.25">
      <c r="C3" s="1730"/>
      <c r="D3" s="1809" t="s">
        <v>92</v>
      </c>
      <c r="E3" s="1810"/>
      <c r="F3" s="1810"/>
      <c r="G3" s="1810"/>
      <c r="H3" s="1810"/>
      <c r="I3" s="1810"/>
      <c r="J3" s="1810"/>
      <c r="K3" s="1810"/>
      <c r="L3" s="1810"/>
      <c r="M3" s="1811"/>
    </row>
    <row r="4" spans="3:13" ht="21" customHeight="1" x14ac:dyDescent="0.25">
      <c r="C4" s="1731"/>
      <c r="D4" s="1812"/>
      <c r="E4" s="1813"/>
      <c r="F4" s="1813"/>
      <c r="G4" s="1813"/>
      <c r="H4" s="1813"/>
      <c r="I4" s="1813"/>
      <c r="J4" s="1813"/>
      <c r="K4" s="1813"/>
      <c r="L4" s="1813"/>
      <c r="M4" s="1814"/>
    </row>
    <row r="5" spans="3:13" ht="15.75" customHeight="1" x14ac:dyDescent="0.25">
      <c r="C5" s="1731"/>
      <c r="D5" s="1815" t="s">
        <v>43</v>
      </c>
      <c r="E5" s="1816"/>
      <c r="F5" s="1816"/>
      <c r="G5" s="1816"/>
      <c r="H5" s="1816"/>
      <c r="I5" s="1816"/>
      <c r="J5" s="1816"/>
      <c r="K5" s="1816"/>
      <c r="L5" s="1816"/>
      <c r="M5" s="1817"/>
    </row>
    <row r="6" spans="3:13" ht="15.75" customHeight="1" thickBot="1" x14ac:dyDescent="0.3">
      <c r="C6" s="1732"/>
      <c r="D6" s="529" t="s">
        <v>19</v>
      </c>
      <c r="E6" s="552" t="s">
        <v>44</v>
      </c>
      <c r="F6" s="529" t="s">
        <v>20</v>
      </c>
      <c r="G6" s="552" t="s">
        <v>21</v>
      </c>
      <c r="H6" s="552" t="s">
        <v>273</v>
      </c>
      <c r="I6" s="552" t="s">
        <v>311</v>
      </c>
      <c r="J6" s="552" t="s">
        <v>312</v>
      </c>
      <c r="K6" s="552" t="s">
        <v>272</v>
      </c>
      <c r="L6" s="531" t="s">
        <v>26</v>
      </c>
      <c r="M6" s="530" t="s">
        <v>292</v>
      </c>
    </row>
    <row r="7" spans="3:13" ht="17.25" thickTop="1" x14ac:dyDescent="0.35">
      <c r="C7" s="532" t="s">
        <v>315</v>
      </c>
      <c r="D7" s="533"/>
      <c r="E7" s="534"/>
      <c r="F7" s="534"/>
      <c r="G7" s="534"/>
      <c r="H7" s="534"/>
      <c r="I7" s="534"/>
      <c r="J7" s="534"/>
      <c r="K7" s="534"/>
      <c r="L7" s="535"/>
      <c r="M7" s="536"/>
    </row>
    <row r="8" spans="3:13" ht="16.5" x14ac:dyDescent="0.25">
      <c r="C8" s="555" t="s">
        <v>294</v>
      </c>
      <c r="D8" s="537">
        <v>1</v>
      </c>
      <c r="E8" s="538" t="s">
        <v>77</v>
      </c>
      <c r="F8" s="538" t="s">
        <v>77</v>
      </c>
      <c r="G8" s="538" t="s">
        <v>77</v>
      </c>
      <c r="H8" s="538" t="s">
        <v>77</v>
      </c>
      <c r="I8" s="538">
        <v>1</v>
      </c>
      <c r="J8" s="538" t="s">
        <v>77</v>
      </c>
      <c r="K8" s="538" t="s">
        <v>77</v>
      </c>
      <c r="L8" s="539" t="s">
        <v>77</v>
      </c>
      <c r="M8" s="540">
        <f>SUM(D8:L8)</f>
        <v>2</v>
      </c>
    </row>
    <row r="9" spans="3:13" ht="16.5" x14ac:dyDescent="0.25">
      <c r="C9" s="556" t="s">
        <v>295</v>
      </c>
      <c r="D9" s="541" t="s">
        <v>77</v>
      </c>
      <c r="E9" s="542">
        <v>1</v>
      </c>
      <c r="F9" s="542" t="s">
        <v>77</v>
      </c>
      <c r="G9" s="542">
        <v>2</v>
      </c>
      <c r="H9" s="542">
        <v>3</v>
      </c>
      <c r="I9" s="542">
        <v>3</v>
      </c>
      <c r="J9" s="542" t="s">
        <v>77</v>
      </c>
      <c r="K9" s="542" t="s">
        <v>77</v>
      </c>
      <c r="L9" s="549">
        <v>3</v>
      </c>
      <c r="M9" s="550">
        <f t="shared" ref="M9:M26" si="0">SUM(D9:L9)</f>
        <v>12</v>
      </c>
    </row>
    <row r="10" spans="3:13" ht="16.5" x14ac:dyDescent="0.25">
      <c r="C10" s="556" t="s">
        <v>296</v>
      </c>
      <c r="D10" s="541">
        <v>1</v>
      </c>
      <c r="E10" s="542" t="s">
        <v>77</v>
      </c>
      <c r="F10" s="542" t="s">
        <v>77</v>
      </c>
      <c r="G10" s="542" t="s">
        <v>77</v>
      </c>
      <c r="H10" s="542" t="s">
        <v>77</v>
      </c>
      <c r="I10" s="542" t="s">
        <v>77</v>
      </c>
      <c r="J10" s="542" t="s">
        <v>77</v>
      </c>
      <c r="K10" s="542" t="s">
        <v>77</v>
      </c>
      <c r="L10" s="543" t="s">
        <v>77</v>
      </c>
      <c r="M10" s="540">
        <f t="shared" si="0"/>
        <v>1</v>
      </c>
    </row>
    <row r="11" spans="3:13" ht="16.5" x14ac:dyDescent="0.25">
      <c r="C11" s="556" t="s">
        <v>297</v>
      </c>
      <c r="D11" s="541" t="s">
        <v>77</v>
      </c>
      <c r="E11" s="542" t="s">
        <v>77</v>
      </c>
      <c r="F11" s="542">
        <v>1</v>
      </c>
      <c r="G11" s="542" t="s">
        <v>77</v>
      </c>
      <c r="H11" s="542" t="s">
        <v>77</v>
      </c>
      <c r="I11" s="542" t="s">
        <v>77</v>
      </c>
      <c r="J11" s="542">
        <v>2</v>
      </c>
      <c r="K11" s="542" t="s">
        <v>77</v>
      </c>
      <c r="L11" s="543" t="s">
        <v>77</v>
      </c>
      <c r="M11" s="540">
        <f t="shared" si="0"/>
        <v>3</v>
      </c>
    </row>
    <row r="12" spans="3:13" ht="16.5" x14ac:dyDescent="0.25">
      <c r="C12" s="556" t="s">
        <v>298</v>
      </c>
      <c r="D12" s="541" t="s">
        <v>77</v>
      </c>
      <c r="E12" s="542" t="s">
        <v>77</v>
      </c>
      <c r="F12" s="542" t="s">
        <v>77</v>
      </c>
      <c r="G12" s="542" t="s">
        <v>77</v>
      </c>
      <c r="H12" s="542" t="s">
        <v>77</v>
      </c>
      <c r="I12" s="542">
        <v>2</v>
      </c>
      <c r="J12" s="542" t="s">
        <v>77</v>
      </c>
      <c r="K12" s="542" t="s">
        <v>77</v>
      </c>
      <c r="L12" s="543" t="s">
        <v>77</v>
      </c>
      <c r="M12" s="540">
        <f t="shared" si="0"/>
        <v>2</v>
      </c>
    </row>
    <row r="13" spans="3:13" ht="16.5" x14ac:dyDescent="0.25">
      <c r="C13" s="556" t="s">
        <v>299</v>
      </c>
      <c r="D13" s="541" t="s">
        <v>77</v>
      </c>
      <c r="E13" s="542" t="s">
        <v>77</v>
      </c>
      <c r="F13" s="542" t="s">
        <v>77</v>
      </c>
      <c r="G13" s="542" t="s">
        <v>77</v>
      </c>
      <c r="H13" s="542">
        <v>2</v>
      </c>
      <c r="I13" s="542">
        <v>3</v>
      </c>
      <c r="J13" s="542" t="s">
        <v>77</v>
      </c>
      <c r="K13" s="542" t="s">
        <v>77</v>
      </c>
      <c r="L13" s="543" t="s">
        <v>77</v>
      </c>
      <c r="M13" s="540">
        <f t="shared" si="0"/>
        <v>5</v>
      </c>
    </row>
    <row r="14" spans="3:13" ht="16.5" x14ac:dyDescent="0.25">
      <c r="C14" s="556" t="s">
        <v>300</v>
      </c>
      <c r="D14" s="541" t="s">
        <v>77</v>
      </c>
      <c r="E14" s="542" t="s">
        <v>77</v>
      </c>
      <c r="F14" s="542" t="s">
        <v>77</v>
      </c>
      <c r="G14" s="542" t="s">
        <v>77</v>
      </c>
      <c r="H14" s="542">
        <v>1</v>
      </c>
      <c r="I14" s="542" t="s">
        <v>77</v>
      </c>
      <c r="J14" s="542" t="s">
        <v>77</v>
      </c>
      <c r="K14" s="542" t="s">
        <v>77</v>
      </c>
      <c r="L14" s="543" t="s">
        <v>77</v>
      </c>
      <c r="M14" s="540">
        <f t="shared" si="0"/>
        <v>1</v>
      </c>
    </row>
    <row r="15" spans="3:13" ht="16.5" x14ac:dyDescent="0.25">
      <c r="C15" s="556" t="s">
        <v>301</v>
      </c>
      <c r="D15" s="541" t="s">
        <v>77</v>
      </c>
      <c r="E15" s="542" t="s">
        <v>77</v>
      </c>
      <c r="F15" s="542" t="s">
        <v>77</v>
      </c>
      <c r="G15" s="542" t="s">
        <v>77</v>
      </c>
      <c r="H15" s="542" t="s">
        <v>77</v>
      </c>
      <c r="I15" s="542">
        <v>2</v>
      </c>
      <c r="J15" s="542" t="s">
        <v>77</v>
      </c>
      <c r="K15" s="542" t="s">
        <v>77</v>
      </c>
      <c r="L15" s="543" t="s">
        <v>77</v>
      </c>
      <c r="M15" s="540">
        <f t="shared" si="0"/>
        <v>2</v>
      </c>
    </row>
    <row r="16" spans="3:13" ht="16.5" x14ac:dyDescent="0.25">
      <c r="C16" s="556" t="s">
        <v>302</v>
      </c>
      <c r="D16" s="541" t="s">
        <v>77</v>
      </c>
      <c r="E16" s="542" t="s">
        <v>77</v>
      </c>
      <c r="F16" s="542" t="s">
        <v>77</v>
      </c>
      <c r="G16" s="542">
        <v>1</v>
      </c>
      <c r="H16" s="542" t="s">
        <v>77</v>
      </c>
      <c r="I16" s="542">
        <v>1</v>
      </c>
      <c r="J16" s="542">
        <v>1</v>
      </c>
      <c r="K16" s="542" t="s">
        <v>77</v>
      </c>
      <c r="L16" s="543">
        <v>2</v>
      </c>
      <c r="M16" s="540">
        <f t="shared" si="0"/>
        <v>5</v>
      </c>
    </row>
    <row r="17" spans="3:13" ht="16.5" x14ac:dyDescent="0.25">
      <c r="C17" s="556" t="s">
        <v>303</v>
      </c>
      <c r="D17" s="541" t="s">
        <v>77</v>
      </c>
      <c r="E17" s="542" t="s">
        <v>77</v>
      </c>
      <c r="F17" s="542" t="s">
        <v>77</v>
      </c>
      <c r="G17" s="542" t="s">
        <v>77</v>
      </c>
      <c r="H17" s="542" t="s">
        <v>77</v>
      </c>
      <c r="I17" s="542" t="s">
        <v>77</v>
      </c>
      <c r="J17" s="542">
        <v>1</v>
      </c>
      <c r="K17" s="542">
        <v>1</v>
      </c>
      <c r="L17" s="543" t="s">
        <v>77</v>
      </c>
      <c r="M17" s="540">
        <f t="shared" si="0"/>
        <v>2</v>
      </c>
    </row>
    <row r="18" spans="3:13" ht="16.5" x14ac:dyDescent="0.25">
      <c r="C18" s="556" t="s">
        <v>304</v>
      </c>
      <c r="D18" s="541" t="s">
        <v>77</v>
      </c>
      <c r="E18" s="542" t="s">
        <v>77</v>
      </c>
      <c r="F18" s="542" t="s">
        <v>77</v>
      </c>
      <c r="G18" s="542" t="s">
        <v>77</v>
      </c>
      <c r="H18" s="542" t="s">
        <v>77</v>
      </c>
      <c r="I18" s="542" t="s">
        <v>77</v>
      </c>
      <c r="J18" s="542">
        <v>1</v>
      </c>
      <c r="K18" s="542" t="s">
        <v>77</v>
      </c>
      <c r="L18" s="543" t="s">
        <v>77</v>
      </c>
      <c r="M18" s="540">
        <f t="shared" si="0"/>
        <v>1</v>
      </c>
    </row>
    <row r="19" spans="3:13" ht="16.5" x14ac:dyDescent="0.25">
      <c r="C19" s="556" t="s">
        <v>310</v>
      </c>
      <c r="D19" s="541" t="s">
        <v>77</v>
      </c>
      <c r="E19" s="542" t="s">
        <v>77</v>
      </c>
      <c r="F19" s="542" t="s">
        <v>77</v>
      </c>
      <c r="G19" s="542" t="s">
        <v>77</v>
      </c>
      <c r="H19" s="542" t="s">
        <v>77</v>
      </c>
      <c r="I19" s="542">
        <v>10</v>
      </c>
      <c r="J19" s="542" t="s">
        <v>77</v>
      </c>
      <c r="K19" s="542">
        <v>2</v>
      </c>
      <c r="L19" s="543" t="s">
        <v>77</v>
      </c>
      <c r="M19" s="540">
        <f t="shared" si="0"/>
        <v>12</v>
      </c>
    </row>
    <row r="20" spans="3:13" ht="16.5" x14ac:dyDescent="0.25">
      <c r="C20" s="556" t="s">
        <v>305</v>
      </c>
      <c r="D20" s="541">
        <v>2</v>
      </c>
      <c r="E20" s="542" t="s">
        <v>77</v>
      </c>
      <c r="F20" s="542" t="s">
        <v>77</v>
      </c>
      <c r="G20" s="542">
        <v>1</v>
      </c>
      <c r="H20" s="542">
        <v>1</v>
      </c>
      <c r="I20" s="542">
        <v>1</v>
      </c>
      <c r="J20" s="542" t="s">
        <v>77</v>
      </c>
      <c r="K20" s="542" t="s">
        <v>77</v>
      </c>
      <c r="L20" s="543" t="s">
        <v>77</v>
      </c>
      <c r="M20" s="540">
        <f t="shared" si="0"/>
        <v>5</v>
      </c>
    </row>
    <row r="21" spans="3:13" ht="16.5" x14ac:dyDescent="0.25">
      <c r="C21" s="556" t="s">
        <v>306</v>
      </c>
      <c r="D21" s="541">
        <v>3</v>
      </c>
      <c r="E21" s="542" t="s">
        <v>77</v>
      </c>
      <c r="F21" s="542">
        <v>3</v>
      </c>
      <c r="G21" s="542" t="s">
        <v>77</v>
      </c>
      <c r="H21" s="542" t="s">
        <v>77</v>
      </c>
      <c r="I21" s="542">
        <v>6</v>
      </c>
      <c r="J21" s="542">
        <v>2</v>
      </c>
      <c r="K21" s="542" t="s">
        <v>77</v>
      </c>
      <c r="L21" s="543">
        <v>1</v>
      </c>
      <c r="M21" s="540">
        <f t="shared" si="0"/>
        <v>15</v>
      </c>
    </row>
    <row r="22" spans="3:13" ht="16.5" x14ac:dyDescent="0.25">
      <c r="C22" s="556" t="s">
        <v>307</v>
      </c>
      <c r="D22" s="541">
        <v>16</v>
      </c>
      <c r="E22" s="542">
        <v>9</v>
      </c>
      <c r="F22" s="542">
        <v>6</v>
      </c>
      <c r="G22" s="542">
        <v>15</v>
      </c>
      <c r="H22" s="542">
        <v>20</v>
      </c>
      <c r="I22" s="542">
        <v>52</v>
      </c>
      <c r="J22" s="542">
        <v>31</v>
      </c>
      <c r="K22" s="542">
        <v>25</v>
      </c>
      <c r="L22" s="543">
        <v>23</v>
      </c>
      <c r="M22" s="540">
        <f t="shared" si="0"/>
        <v>197</v>
      </c>
    </row>
    <row r="23" spans="3:13" ht="16.5" x14ac:dyDescent="0.25">
      <c r="C23" s="556" t="s">
        <v>308</v>
      </c>
      <c r="D23" s="541">
        <v>3</v>
      </c>
      <c r="E23" s="542" t="s">
        <v>77</v>
      </c>
      <c r="F23" s="542">
        <v>4</v>
      </c>
      <c r="G23" s="542">
        <v>7</v>
      </c>
      <c r="H23" s="542">
        <v>1</v>
      </c>
      <c r="I23" s="542">
        <v>6</v>
      </c>
      <c r="J23" s="542">
        <v>2</v>
      </c>
      <c r="K23" s="542" t="s">
        <v>77</v>
      </c>
      <c r="L23" s="543" t="s">
        <v>77</v>
      </c>
      <c r="M23" s="540">
        <f t="shared" si="0"/>
        <v>23</v>
      </c>
    </row>
    <row r="24" spans="3:13" ht="15" customHeight="1" x14ac:dyDescent="0.25">
      <c r="C24" s="556" t="s">
        <v>309</v>
      </c>
      <c r="D24" s="541" t="s">
        <v>77</v>
      </c>
      <c r="E24" s="542" t="s">
        <v>77</v>
      </c>
      <c r="F24" s="542">
        <v>1</v>
      </c>
      <c r="G24" s="542" t="s">
        <v>77</v>
      </c>
      <c r="H24" s="542">
        <v>1</v>
      </c>
      <c r="I24" s="542" t="s">
        <v>77</v>
      </c>
      <c r="J24" s="542" t="s">
        <v>77</v>
      </c>
      <c r="K24" s="542" t="s">
        <v>77</v>
      </c>
      <c r="L24" s="543" t="s">
        <v>77</v>
      </c>
      <c r="M24" s="540">
        <f t="shared" si="0"/>
        <v>2</v>
      </c>
    </row>
    <row r="25" spans="3:13" ht="15" customHeight="1" x14ac:dyDescent="0.25">
      <c r="C25" s="556" t="s">
        <v>313</v>
      </c>
      <c r="D25" s="541">
        <v>4</v>
      </c>
      <c r="E25" s="542">
        <v>4</v>
      </c>
      <c r="F25" s="542">
        <v>3</v>
      </c>
      <c r="G25" s="542">
        <v>5</v>
      </c>
      <c r="H25" s="542">
        <v>4</v>
      </c>
      <c r="I25" s="542">
        <v>6</v>
      </c>
      <c r="J25" s="542" t="s">
        <v>77</v>
      </c>
      <c r="K25" s="542">
        <v>2</v>
      </c>
      <c r="L25" s="543">
        <v>2</v>
      </c>
      <c r="M25" s="550">
        <f t="shared" si="0"/>
        <v>30</v>
      </c>
    </row>
    <row r="26" spans="3:13" ht="17.25" thickBot="1" x14ac:dyDescent="0.4">
      <c r="C26" s="557" t="s">
        <v>314</v>
      </c>
      <c r="D26" s="559" t="s">
        <v>77</v>
      </c>
      <c r="E26" s="560" t="s">
        <v>77</v>
      </c>
      <c r="F26" s="561" t="s">
        <v>77</v>
      </c>
      <c r="G26" s="212" t="s">
        <v>77</v>
      </c>
      <c r="H26" s="560" t="s">
        <v>77</v>
      </c>
      <c r="I26" s="560">
        <v>1</v>
      </c>
      <c r="J26" s="561">
        <v>1</v>
      </c>
      <c r="K26" s="212" t="s">
        <v>77</v>
      </c>
      <c r="L26" s="562">
        <v>1</v>
      </c>
      <c r="M26" s="558">
        <f t="shared" si="0"/>
        <v>3</v>
      </c>
    </row>
    <row r="27" spans="3:13" ht="15.75" customHeight="1" x14ac:dyDescent="0.25"/>
  </sheetData>
  <mergeCells count="3">
    <mergeCell ref="D3:M4"/>
    <mergeCell ref="D5:M5"/>
    <mergeCell ref="C3:C6"/>
  </mergeCells>
  <pageMargins left="0.7" right="0.7" top="0.75" bottom="0.75" header="0.3" footer="0.3"/>
  <pageSetup paperSize="66" orientation="landscape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1" baseType="lpstr">
      <vt:lpstr>Proposed Construction Phasing </vt:lpstr>
      <vt:lpstr>Plot By Plot SoA</vt:lpstr>
      <vt:lpstr>Single &amp; Multi Family</vt:lpstr>
      <vt:lpstr>Marketing SoA</vt:lpstr>
      <vt:lpstr>Block By Block SoA</vt:lpstr>
      <vt:lpstr>Commercial Units</vt:lpstr>
      <vt:lpstr>CIL Calculations</vt:lpstr>
      <vt:lpstr>Railing Schedule</vt:lpstr>
      <vt:lpstr>Ironmongery Schedule</vt:lpstr>
      <vt:lpstr>Velux Schedule </vt:lpstr>
      <vt:lpstr>Plot-by-Plot Dwelling Info</vt:lpstr>
      <vt:lpstr>Plot By Plot Materials Schedule</vt:lpstr>
      <vt:lpstr>14 - Affordable A</vt:lpstr>
      <vt:lpstr>23 - Affordable B</vt:lpstr>
      <vt:lpstr>35 - Affordable C</vt:lpstr>
      <vt:lpstr>55 - Affordable D</vt:lpstr>
      <vt:lpstr>74 - Affordable E </vt:lpstr>
      <vt:lpstr>'Block By Block SoA'!Print_Area</vt:lpstr>
      <vt:lpstr>'Plot By Plot Materials Schedule'!Print_Area</vt:lpstr>
      <vt:lpstr>'Plot By Plot SoA'!Print_Area</vt:lpstr>
      <vt:lpstr>'Proposed Construction Phasing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Alessio Testa</dc:creator>
  <cp:lastModifiedBy>Alessio Testa</cp:lastModifiedBy>
  <cp:lastPrinted>2026-03-11T16:25:19Z</cp:lastPrinted>
  <dcterms:created xsi:type="dcterms:W3CDTF">2023-11-24T07:49:57Z</dcterms:created>
  <dcterms:modified xsi:type="dcterms:W3CDTF">2026-03-13T11:06:17Z</dcterms:modified>
</cp:coreProperties>
</file>